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defaultThemeVersion="166925"/>
  <mc:AlternateContent xmlns:mc="http://schemas.openxmlformats.org/markup-compatibility/2006">
    <mc:Choice Requires="x15">
      <x15ac:absPath xmlns:x15ac="http://schemas.microsoft.com/office/spreadsheetml/2010/11/ac" url="C:\Users\tanya\Desktop\tanya\IAQS\CM1 research\To be sent\"/>
    </mc:Choice>
  </mc:AlternateContent>
  <xr:revisionPtr revIDLastSave="0" documentId="13_ncr:1_{2FE1B817-FF4A-48FF-BFA5-A41C41830A8C}" xr6:coauthVersionLast="46" xr6:coauthVersionMax="46" xr10:uidLastSave="{00000000-0000-0000-0000-000000000000}"/>
  <bookViews>
    <workbookView xWindow="-120" yWindow="-120" windowWidth="20730" windowHeight="11160" firstSheet="1" activeTab="6" xr2:uid="{FB38DAB9-0123-485F-B009-FB4AC2C2CE5A}"/>
  </bookViews>
  <sheets>
    <sheet name="Question 1" sheetId="1" r:id="rId1"/>
    <sheet name="Question 2" sheetId="2" r:id="rId2"/>
    <sheet name="Question 3" sheetId="3" r:id="rId3"/>
    <sheet name="Question 4 part (i)" sheetId="4" r:id="rId4"/>
    <sheet name="Question 4 part (ii)" sheetId="5" r:id="rId5"/>
    <sheet name="Question 5" sheetId="7" r:id="rId6"/>
    <sheet name="Question 6" sheetId="8" r:id="rId7"/>
  </sheets>
  <definedNames>
    <definedName name="AddBonus">'Question 4 part (i)'!$B$9</definedName>
    <definedName name="AddRev">'Question 4 part (i)'!$B$6</definedName>
    <definedName name="AddSal">'Question 4 part (i)'!$B$8</definedName>
    <definedName name="i">'Question 1'!#REF!</definedName>
    <definedName name="int">'Question 4 part (i)'!$B$3</definedName>
    <definedName name="interest">'Question 4 part (ii)'!$B$3</definedName>
    <definedName name="LostProd">'Question 4 part (i)'!$B$5</definedName>
    <definedName name="RevInc">'Question 4 part (i)'!$B$7</definedName>
    <definedName name="SalInc">'Question 4 part (i)'!$B$10</definedName>
    <definedName name="TrainCost">'Question 4 part (i)'!$B$4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1" i="8" l="1"/>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5" i="8"/>
  <c r="H16" i="8"/>
  <c r="H17" i="8"/>
  <c r="H18" i="8"/>
  <c r="H19" i="8"/>
  <c r="H20" i="8"/>
  <c r="M15" i="8"/>
  <c r="G16" i="8" s="1"/>
  <c r="M16" i="8" s="1"/>
  <c r="G17" i="8" s="1"/>
  <c r="M17" i="8" s="1"/>
  <c r="G18" i="8" s="1"/>
  <c r="M18" i="8" s="1"/>
  <c r="G19" i="8" s="1"/>
  <c r="M14" i="8"/>
  <c r="G15" i="8" s="1"/>
  <c r="L133" i="8"/>
  <c r="K51" i="8"/>
  <c r="K52" i="8"/>
  <c r="K53" i="8"/>
  <c r="K54" i="8"/>
  <c r="K55" i="8"/>
  <c r="K56" i="8"/>
  <c r="K57" i="8"/>
  <c r="K58" i="8"/>
  <c r="K59" i="8"/>
  <c r="K60" i="8"/>
  <c r="K61" i="8"/>
  <c r="K62" i="8"/>
  <c r="K63" i="8"/>
  <c r="K64" i="8"/>
  <c r="K65" i="8"/>
  <c r="K66" i="8"/>
  <c r="K67" i="8"/>
  <c r="K68" i="8"/>
  <c r="K69" i="8"/>
  <c r="K70" i="8"/>
  <c r="K71" i="8"/>
  <c r="K72" i="8"/>
  <c r="K73" i="8"/>
  <c r="K74" i="8"/>
  <c r="K75" i="8"/>
  <c r="K76" i="8"/>
  <c r="K77" i="8"/>
  <c r="K78" i="8"/>
  <c r="K79" i="8"/>
  <c r="K80" i="8"/>
  <c r="K81" i="8"/>
  <c r="K82" i="8"/>
  <c r="K83" i="8"/>
  <c r="K84" i="8"/>
  <c r="K85" i="8"/>
  <c r="K86" i="8"/>
  <c r="K87" i="8"/>
  <c r="K88" i="8"/>
  <c r="K89" i="8"/>
  <c r="K90" i="8"/>
  <c r="K91" i="8"/>
  <c r="K92" i="8"/>
  <c r="K93" i="8"/>
  <c r="K94" i="8"/>
  <c r="K95" i="8"/>
  <c r="K96" i="8"/>
  <c r="K97" i="8"/>
  <c r="K98" i="8"/>
  <c r="K99" i="8"/>
  <c r="K100" i="8"/>
  <c r="K101" i="8"/>
  <c r="K102" i="8"/>
  <c r="K103" i="8"/>
  <c r="K104" i="8"/>
  <c r="K105" i="8"/>
  <c r="K106" i="8"/>
  <c r="K107" i="8"/>
  <c r="K108" i="8"/>
  <c r="K109" i="8"/>
  <c r="K110" i="8"/>
  <c r="K111" i="8"/>
  <c r="K112" i="8"/>
  <c r="K113" i="8"/>
  <c r="K114" i="8"/>
  <c r="K115" i="8"/>
  <c r="K116" i="8"/>
  <c r="K117" i="8"/>
  <c r="K118" i="8"/>
  <c r="K119" i="8"/>
  <c r="K120" i="8"/>
  <c r="K121" i="8"/>
  <c r="K122" i="8"/>
  <c r="K123" i="8"/>
  <c r="K124" i="8"/>
  <c r="K125" i="8"/>
  <c r="K126" i="8"/>
  <c r="K127" i="8"/>
  <c r="K128" i="8"/>
  <c r="K129" i="8"/>
  <c r="K130" i="8"/>
  <c r="K131" i="8"/>
  <c r="K132" i="8"/>
  <c r="K133" i="8"/>
  <c r="K50" i="8"/>
  <c r="J52" i="8"/>
  <c r="J53" i="8"/>
  <c r="J54" i="8"/>
  <c r="J55" i="8"/>
  <c r="J56" i="8"/>
  <c r="J57" i="8"/>
  <c r="J58"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129" i="8"/>
  <c r="J130" i="8"/>
  <c r="J131" i="8"/>
  <c r="J132" i="8"/>
  <c r="J133" i="8"/>
  <c r="J51" i="8"/>
  <c r="I39" i="8"/>
  <c r="I40" i="8"/>
  <c r="I41" i="8"/>
  <c r="I42" i="8"/>
  <c r="I43" i="8"/>
  <c r="I44" i="8"/>
  <c r="I45" i="8"/>
  <c r="I46" i="8"/>
  <c r="I47" i="8"/>
  <c r="I48" i="8"/>
  <c r="I49" i="8"/>
  <c r="I38" i="8"/>
  <c r="I37" i="8"/>
  <c r="I36" i="8"/>
  <c r="I27" i="8"/>
  <c r="I28" i="8"/>
  <c r="I29" i="8"/>
  <c r="I30" i="8"/>
  <c r="I31" i="8"/>
  <c r="I32" i="8"/>
  <c r="I33" i="8"/>
  <c r="I34" i="8"/>
  <c r="I35" i="8"/>
  <c r="I26" i="8"/>
  <c r="I23" i="8"/>
  <c r="I24" i="8"/>
  <c r="I25" i="8"/>
  <c r="I15" i="8"/>
  <c r="I16" i="8"/>
  <c r="I17" i="8"/>
  <c r="I18" i="8"/>
  <c r="I19" i="8"/>
  <c r="I20" i="8"/>
  <c r="I21" i="8"/>
  <c r="I22" i="8"/>
  <c r="I14" i="8"/>
  <c r="H14" i="8"/>
  <c r="G14" i="8"/>
  <c r="F133" i="8"/>
  <c r="F132" i="8"/>
  <c r="F131" i="8"/>
  <c r="F130" i="8"/>
  <c r="F129" i="8"/>
  <c r="F128" i="8"/>
  <c r="F127" i="8"/>
  <c r="F126" i="8"/>
  <c r="F125" i="8"/>
  <c r="F124" i="8"/>
  <c r="F123" i="8"/>
  <c r="F122" i="8"/>
  <c r="F121" i="8"/>
  <c r="F120" i="8"/>
  <c r="F119" i="8"/>
  <c r="F118" i="8"/>
  <c r="F117" i="8"/>
  <c r="F116" i="8"/>
  <c r="F115" i="8"/>
  <c r="F114" i="8"/>
  <c r="F113" i="8"/>
  <c r="F112" i="8"/>
  <c r="F111" i="8"/>
  <c r="F110" i="8"/>
  <c r="F109" i="8"/>
  <c r="F108" i="8"/>
  <c r="F107" i="8"/>
  <c r="F106" i="8"/>
  <c r="F105" i="8"/>
  <c r="F104" i="8"/>
  <c r="F103" i="8"/>
  <c r="F102" i="8"/>
  <c r="F101" i="8"/>
  <c r="F100" i="8"/>
  <c r="F99" i="8"/>
  <c r="F98" i="8"/>
  <c r="F97" i="8"/>
  <c r="F96" i="8"/>
  <c r="F95" i="8"/>
  <c r="F94" i="8"/>
  <c r="F93" i="8"/>
  <c r="F92" i="8"/>
  <c r="F91" i="8"/>
  <c r="F90" i="8"/>
  <c r="F89" i="8"/>
  <c r="F88" i="8"/>
  <c r="F87" i="8"/>
  <c r="F86" i="8"/>
  <c r="F85" i="8"/>
  <c r="F84" i="8"/>
  <c r="F83" i="8"/>
  <c r="F82" i="8"/>
  <c r="F81" i="8"/>
  <c r="F80" i="8"/>
  <c r="F79" i="8"/>
  <c r="F78" i="8"/>
  <c r="F77" i="8"/>
  <c r="F76" i="8"/>
  <c r="F75" i="8"/>
  <c r="F74" i="8"/>
  <c r="F73" i="8"/>
  <c r="F72" i="8"/>
  <c r="F71" i="8"/>
  <c r="F70" i="8"/>
  <c r="F69" i="8"/>
  <c r="F68" i="8"/>
  <c r="F67" i="8"/>
  <c r="F66" i="8"/>
  <c r="F65" i="8"/>
  <c r="F64" i="8"/>
  <c r="F63" i="8"/>
  <c r="F62" i="8"/>
  <c r="F61" i="8"/>
  <c r="F60" i="8"/>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D18" i="8"/>
  <c r="D19" i="8" s="1"/>
  <c r="D20" i="8" s="1"/>
  <c r="D21" i="8" s="1"/>
  <c r="D22" i="8" s="1"/>
  <c r="D23" i="8" s="1"/>
  <c r="D24" i="8" s="1"/>
  <c r="D25" i="8" s="1"/>
  <c r="D26" i="8" s="1"/>
  <c r="D27" i="8" s="1"/>
  <c r="D28" i="8" s="1"/>
  <c r="D29" i="8" s="1"/>
  <c r="D30" i="8" s="1"/>
  <c r="D31" i="8" s="1"/>
  <c r="D32" i="8" s="1"/>
  <c r="D33" i="8" s="1"/>
  <c r="D34" i="8" s="1"/>
  <c r="D35" i="8" s="1"/>
  <c r="D36" i="8" s="1"/>
  <c r="D37" i="8" s="1"/>
  <c r="D38" i="8" s="1"/>
  <c r="D39" i="8" s="1"/>
  <c r="D40" i="8" s="1"/>
  <c r="D41" i="8" s="1"/>
  <c r="D42" i="8" s="1"/>
  <c r="D43" i="8" s="1"/>
  <c r="D44" i="8" s="1"/>
  <c r="D45" i="8" s="1"/>
  <c r="D46" i="8" s="1"/>
  <c r="D47" i="8" s="1"/>
  <c r="D48" i="8" s="1"/>
  <c r="D49" i="8" s="1"/>
  <c r="D50" i="8" s="1"/>
  <c r="D51" i="8" s="1"/>
  <c r="D52" i="8" s="1"/>
  <c r="D53" i="8" s="1"/>
  <c r="D54" i="8" s="1"/>
  <c r="D55" i="8" s="1"/>
  <c r="D56" i="8" s="1"/>
  <c r="D57" i="8" s="1"/>
  <c r="D58" i="8" s="1"/>
  <c r="D59" i="8" s="1"/>
  <c r="D60" i="8" s="1"/>
  <c r="D61" i="8" s="1"/>
  <c r="D62" i="8" s="1"/>
  <c r="D63" i="8" s="1"/>
  <c r="D64" i="8" s="1"/>
  <c r="D65" i="8" s="1"/>
  <c r="D66" i="8" s="1"/>
  <c r="D67" i="8" s="1"/>
  <c r="D68" i="8" s="1"/>
  <c r="D69" i="8" s="1"/>
  <c r="D70" i="8" s="1"/>
  <c r="D71" i="8" s="1"/>
  <c r="D72" i="8" s="1"/>
  <c r="D73" i="8" s="1"/>
  <c r="D74" i="8" s="1"/>
  <c r="D75" i="8" s="1"/>
  <c r="D76" i="8" s="1"/>
  <c r="D77" i="8" s="1"/>
  <c r="D78" i="8" s="1"/>
  <c r="D79" i="8" s="1"/>
  <c r="D80" i="8" s="1"/>
  <c r="D81" i="8" s="1"/>
  <c r="D82" i="8" s="1"/>
  <c r="D83" i="8" s="1"/>
  <c r="D84" i="8" s="1"/>
  <c r="D85" i="8" s="1"/>
  <c r="D86" i="8" s="1"/>
  <c r="D87" i="8" s="1"/>
  <c r="D88" i="8" s="1"/>
  <c r="D89" i="8" s="1"/>
  <c r="D90" i="8" s="1"/>
  <c r="D91" i="8" s="1"/>
  <c r="D92" i="8" s="1"/>
  <c r="D93" i="8" s="1"/>
  <c r="D94" i="8" s="1"/>
  <c r="D95" i="8" s="1"/>
  <c r="D96" i="8" s="1"/>
  <c r="D97" i="8" s="1"/>
  <c r="D98" i="8" s="1"/>
  <c r="D99" i="8" s="1"/>
  <c r="D100" i="8" s="1"/>
  <c r="D101" i="8" s="1"/>
  <c r="D102" i="8" s="1"/>
  <c r="D103" i="8" s="1"/>
  <c r="D104" i="8" s="1"/>
  <c r="D105" i="8" s="1"/>
  <c r="D106" i="8" s="1"/>
  <c r="D107" i="8" s="1"/>
  <c r="D108" i="8" s="1"/>
  <c r="D109" i="8" s="1"/>
  <c r="D110" i="8" s="1"/>
  <c r="D111" i="8" s="1"/>
  <c r="D112" i="8" s="1"/>
  <c r="D113" i="8" s="1"/>
  <c r="D114" i="8" s="1"/>
  <c r="D115" i="8" s="1"/>
  <c r="D116" i="8" s="1"/>
  <c r="D117" i="8" s="1"/>
  <c r="D118" i="8" s="1"/>
  <c r="D119" i="8" s="1"/>
  <c r="D120" i="8" s="1"/>
  <c r="D121" i="8" s="1"/>
  <c r="D122" i="8" s="1"/>
  <c r="D123" i="8" s="1"/>
  <c r="D124" i="8" s="1"/>
  <c r="D125" i="8" s="1"/>
  <c r="D126" i="8" s="1"/>
  <c r="D127" i="8" s="1"/>
  <c r="D128" i="8" s="1"/>
  <c r="D129" i="8" s="1"/>
  <c r="D130" i="8" s="1"/>
  <c r="D131" i="8" s="1"/>
  <c r="D132" i="8" s="1"/>
  <c r="D133" i="8" s="1"/>
  <c r="F17" i="8"/>
  <c r="F16" i="8"/>
  <c r="D16" i="8"/>
  <c r="D17" i="8" s="1"/>
  <c r="F15" i="8"/>
  <c r="D15" i="8"/>
  <c r="F14" i="8"/>
  <c r="M19" i="8" l="1"/>
  <c r="G20" i="8" s="1"/>
  <c r="M20" i="8" s="1"/>
  <c r="G21" i="8" s="1"/>
  <c r="M21" i="8" s="1"/>
  <c r="G22" i="8" s="1"/>
  <c r="M22" i="8" s="1"/>
  <c r="G23" i="8" l="1"/>
  <c r="M23" i="8" s="1"/>
  <c r="G24" i="8" s="1"/>
  <c r="M24" i="8" s="1"/>
  <c r="G25" i="8" s="1"/>
  <c r="M25" i="8" s="1"/>
  <c r="G26" i="8" s="1"/>
  <c r="M26" i="8" s="1"/>
  <c r="G27" i="8" s="1"/>
  <c r="M27" i="8" s="1"/>
  <c r="G28" i="8" s="1"/>
  <c r="M28" i="8" s="1"/>
  <c r="G29" i="8" s="1"/>
  <c r="M29" i="8" s="1"/>
  <c r="G30" i="8" s="1"/>
  <c r="M30" i="8" s="1"/>
  <c r="G31" i="8" s="1"/>
  <c r="M31" i="8" s="1"/>
  <c r="G32" i="8" l="1"/>
  <c r="M32" i="8" s="1"/>
  <c r="G33" i="8" s="1"/>
  <c r="M33" i="8" s="1"/>
  <c r="G34" i="8" s="1"/>
  <c r="M34" i="8" s="1"/>
  <c r="G35" i="8" s="1"/>
  <c r="M35" i="8" s="1"/>
  <c r="G36" i="8" s="1"/>
  <c r="M36" i="8" s="1"/>
  <c r="G37" i="8" l="1"/>
  <c r="M37" i="8" s="1"/>
  <c r="G38" i="8" s="1"/>
  <c r="M38" i="8" s="1"/>
  <c r="G39" i="8" s="1"/>
  <c r="M39" i="8" s="1"/>
  <c r="G40" i="8" s="1"/>
  <c r="M40" i="8" s="1"/>
  <c r="G41" i="8" l="1"/>
  <c r="M41" i="8" s="1"/>
  <c r="G42" i="8" s="1"/>
  <c r="M42" i="8" s="1"/>
  <c r="G43" i="8" s="1"/>
  <c r="M43" i="8" s="1"/>
  <c r="G44" i="8" s="1"/>
  <c r="M44" i="8" s="1"/>
  <c r="G45" i="8" s="1"/>
  <c r="M45" i="8" s="1"/>
  <c r="G46" i="8" s="1"/>
  <c r="M46" i="8" s="1"/>
  <c r="G47" i="8" s="1"/>
  <c r="M47" i="8" s="1"/>
  <c r="G48" i="8" l="1"/>
  <c r="M48" i="8" s="1"/>
  <c r="G49" i="8" s="1"/>
  <c r="M49" i="8" s="1"/>
  <c r="G50" i="8" s="1"/>
  <c r="M50" i="8" s="1"/>
  <c r="G51" i="8" s="1"/>
  <c r="M51" i="8" s="1"/>
  <c r="G52" i="8" s="1"/>
  <c r="M52" i="8" s="1"/>
  <c r="G53" i="8" s="1"/>
  <c r="M53" i="8" s="1"/>
  <c r="G54" i="8" s="1"/>
  <c r="M54" i="8" s="1"/>
  <c r="G55" i="8" s="1"/>
  <c r="M55" i="8" s="1"/>
  <c r="G56" i="8" l="1"/>
  <c r="M56" i="8" s="1"/>
  <c r="G57" i="8" s="1"/>
  <c r="M57" i="8" s="1"/>
  <c r="G58" i="8" s="1"/>
  <c r="M58" i="8" s="1"/>
  <c r="G59" i="8" s="1"/>
  <c r="M59" i="8" s="1"/>
  <c r="G60" i="8" s="1"/>
  <c r="M60" i="8" s="1"/>
  <c r="G61" i="8" l="1"/>
  <c r="M61" i="8" s="1"/>
  <c r="G62" i="8" s="1"/>
  <c r="M62" i="8" s="1"/>
  <c r="G63" i="8" s="1"/>
  <c r="M63" i="8" s="1"/>
  <c r="G64" i="8" s="1"/>
  <c r="M64" i="8" s="1"/>
  <c r="G65" i="8" s="1"/>
  <c r="M65" i="8" s="1"/>
  <c r="G66" i="8" s="1"/>
  <c r="M66" i="8" s="1"/>
  <c r="G67" i="8" s="1"/>
  <c r="M67" i="8" s="1"/>
  <c r="G68" i="8" s="1"/>
  <c r="M68" i="8" s="1"/>
  <c r="G69" i="8" s="1"/>
  <c r="M69" i="8" s="1"/>
  <c r="G70" i="8" s="1"/>
  <c r="M70" i="8" s="1"/>
  <c r="G71" i="8" s="1"/>
  <c r="M71" i="8" s="1"/>
  <c r="G72" i="8" s="1"/>
  <c r="M72" i="8" s="1"/>
  <c r="G73" i="8" s="1"/>
  <c r="M73" i="8" s="1"/>
  <c r="G74" i="8" s="1"/>
  <c r="M74" i="8" s="1"/>
  <c r="G75" i="8" s="1"/>
  <c r="M75" i="8" s="1"/>
  <c r="G76" i="8" l="1"/>
  <c r="M76" i="8" s="1"/>
  <c r="G77" i="8" s="1"/>
  <c r="M77" i="8" s="1"/>
  <c r="G78" i="8" s="1"/>
  <c r="M78" i="8" s="1"/>
  <c r="G79" i="8" s="1"/>
  <c r="M79" i="8" s="1"/>
  <c r="G80" i="8" s="1"/>
  <c r="M80" i="8" s="1"/>
  <c r="G81" i="8" l="1"/>
  <c r="M81" i="8" s="1"/>
  <c r="G82" i="8" s="1"/>
  <c r="M82" i="8" s="1"/>
  <c r="G83" i="8" s="1"/>
  <c r="M83" i="8" s="1"/>
  <c r="G84" i="8" s="1"/>
  <c r="M84" i="8" s="1"/>
  <c r="G85" i="8" l="1"/>
  <c r="M85" i="8" s="1"/>
  <c r="G86" i="8" s="1"/>
  <c r="M86" i="8" s="1"/>
  <c r="G87" i="8" s="1"/>
  <c r="M87" i="8" s="1"/>
  <c r="G88" i="8" s="1"/>
  <c r="M88" i="8" s="1"/>
  <c r="G89" i="8" l="1"/>
  <c r="M89" i="8" s="1"/>
  <c r="G90" i="8" s="1"/>
  <c r="M90" i="8" s="1"/>
  <c r="G91" i="8" s="1"/>
  <c r="M91" i="8" s="1"/>
  <c r="G92" i="8" l="1"/>
  <c r="M92" i="8" s="1"/>
  <c r="G93" i="8" s="1"/>
  <c r="M93" i="8" s="1"/>
  <c r="G94" i="8" s="1"/>
  <c r="M94" i="8" s="1"/>
  <c r="G95" i="8" s="1"/>
  <c r="M95" i="8" s="1"/>
  <c r="G96" i="8" s="1"/>
  <c r="M96" i="8" s="1"/>
  <c r="G97" i="8" s="1"/>
  <c r="M97" i="8" s="1"/>
  <c r="G98" i="8" s="1"/>
  <c r="M98" i="8" s="1"/>
  <c r="G99" i="8" s="1"/>
  <c r="M99" i="8" s="1"/>
  <c r="G100" i="8" l="1"/>
  <c r="M100" i="8" s="1"/>
  <c r="G101" i="8" s="1"/>
  <c r="M101" i="8" s="1"/>
  <c r="G102" i="8" s="1"/>
  <c r="M102" i="8" s="1"/>
  <c r="G103" i="8" s="1"/>
  <c r="M103" i="8" s="1"/>
  <c r="G104" i="8" s="1"/>
  <c r="M104" i="8" s="1"/>
  <c r="G105" i="8" l="1"/>
  <c r="M105" i="8" s="1"/>
  <c r="G106" i="8" s="1"/>
  <c r="M106" i="8" s="1"/>
  <c r="G107" i="8" s="1"/>
  <c r="M107" i="8" s="1"/>
  <c r="G108" i="8" s="1"/>
  <c r="M108" i="8" s="1"/>
  <c r="G109" i="8" s="1"/>
  <c r="M109" i="8" s="1"/>
  <c r="G110" i="8" s="1"/>
  <c r="M110" i="8" s="1"/>
  <c r="G111" i="8" s="1"/>
  <c r="M111" i="8" s="1"/>
  <c r="G112" i="8" s="1"/>
  <c r="M112" i="8" s="1"/>
  <c r="G113" i="8" s="1"/>
  <c r="M113" i="8" s="1"/>
  <c r="G114" i="8" s="1"/>
  <c r="M114" i="8" s="1"/>
  <c r="G115" i="8" s="1"/>
  <c r="M115" i="8" s="1"/>
  <c r="G116" i="8" s="1"/>
  <c r="M116" i="8" s="1"/>
  <c r="G117" i="8" s="1"/>
  <c r="M117" i="8" s="1"/>
  <c r="G118" i="8" s="1"/>
  <c r="M118" i="8" s="1"/>
  <c r="G119" i="8" s="1"/>
  <c r="M119" i="8" s="1"/>
  <c r="G120" i="8" l="1"/>
  <c r="M120" i="8" s="1"/>
  <c r="G121" i="8" s="1"/>
  <c r="M121" i="8" s="1"/>
  <c r="G122" i="8" s="1"/>
  <c r="M122" i="8" s="1"/>
  <c r="G123" i="8" s="1"/>
  <c r="M123" i="8" s="1"/>
  <c r="G124" i="8" s="1"/>
  <c r="M124" i="8" s="1"/>
  <c r="G125" i="8" l="1"/>
  <c r="M125" i="8" s="1"/>
  <c r="G126" i="8" s="1"/>
  <c r="M126" i="8" s="1"/>
  <c r="G127" i="8" s="1"/>
  <c r="M127" i="8" s="1"/>
  <c r="G128" i="8" s="1"/>
  <c r="M128" i="8" s="1"/>
  <c r="G129" i="8" l="1"/>
  <c r="M129" i="8" s="1"/>
  <c r="G130" i="8" s="1"/>
  <c r="M130" i="8" s="1"/>
  <c r="G131" i="8" s="1"/>
  <c r="M131" i="8" s="1"/>
  <c r="G132" i="8" s="1"/>
  <c r="M132" i="8" s="1"/>
  <c r="G133" i="8" l="1"/>
  <c r="M133" i="8" s="1"/>
  <c r="U12" i="7" l="1"/>
  <c r="U13" i="7"/>
  <c r="U14" i="7"/>
  <c r="U15" i="7"/>
  <c r="U16" i="7"/>
  <c r="U17" i="7"/>
  <c r="U18" i="7"/>
  <c r="U19" i="7"/>
  <c r="U20" i="7"/>
  <c r="U21" i="7"/>
  <c r="U22" i="7"/>
  <c r="U23" i="7"/>
  <c r="U24" i="7"/>
  <c r="U25" i="7"/>
  <c r="U26" i="7"/>
  <c r="U27" i="7"/>
  <c r="U28" i="7"/>
  <c r="U6" i="7"/>
  <c r="U7" i="7"/>
  <c r="U8" i="7"/>
  <c r="U9" i="7"/>
  <c r="U10" i="7"/>
  <c r="U11" i="7"/>
  <c r="U5" i="7"/>
  <c r="P11" i="7"/>
  <c r="P12" i="7"/>
  <c r="P13" i="7"/>
  <c r="P14" i="7"/>
  <c r="P15" i="7"/>
  <c r="P16" i="7"/>
  <c r="P17" i="7"/>
  <c r="P18" i="7"/>
  <c r="P19" i="7"/>
  <c r="P20" i="7"/>
  <c r="P21" i="7"/>
  <c r="P22" i="7"/>
  <c r="P23" i="7"/>
  <c r="P24" i="7"/>
  <c r="P25" i="7"/>
  <c r="P26" i="7"/>
  <c r="P27" i="7"/>
  <c r="P28" i="7"/>
  <c r="P5" i="7"/>
  <c r="P6" i="7"/>
  <c r="P7" i="7"/>
  <c r="P8" i="7"/>
  <c r="P9" i="7"/>
  <c r="P10" i="7"/>
  <c r="P4" i="7"/>
  <c r="R4" i="7" s="1"/>
  <c r="R5" i="7" s="1"/>
  <c r="O5" i="7"/>
  <c r="O6" i="7" s="1"/>
  <c r="O7" i="7" s="1"/>
  <c r="K6" i="7"/>
  <c r="K7" i="7"/>
  <c r="K8" i="7"/>
  <c r="K9" i="7"/>
  <c r="K10" i="7"/>
  <c r="K11" i="7"/>
  <c r="K12" i="7"/>
  <c r="K13" i="7"/>
  <c r="K14" i="7"/>
  <c r="K15" i="7"/>
  <c r="K16" i="7"/>
  <c r="K17" i="7"/>
  <c r="K18" i="7"/>
  <c r="K19" i="7"/>
  <c r="K20" i="7"/>
  <c r="K21" i="7"/>
  <c r="K22" i="7"/>
  <c r="K23" i="7"/>
  <c r="K24" i="7"/>
  <c r="K25" i="7"/>
  <c r="K26" i="7"/>
  <c r="K27" i="7"/>
  <c r="K28" i="7"/>
  <c r="K5" i="7"/>
  <c r="J6" i="7"/>
  <c r="F5" i="7"/>
  <c r="F6" i="7" s="1"/>
  <c r="F7" i="7" s="1"/>
  <c r="J4" i="7"/>
  <c r="C28" i="7"/>
  <c r="D28" i="7" s="1"/>
  <c r="C27" i="7"/>
  <c r="D27" i="7" s="1"/>
  <c r="C26" i="7"/>
  <c r="D26" i="7" s="1"/>
  <c r="C25" i="7"/>
  <c r="D25" i="7" s="1"/>
  <c r="C24" i="7"/>
  <c r="D24" i="7" s="1"/>
  <c r="C23" i="7"/>
  <c r="D23" i="7" s="1"/>
  <c r="C22" i="7"/>
  <c r="D22" i="7" s="1"/>
  <c r="C21" i="7"/>
  <c r="D21" i="7" s="1"/>
  <c r="C20" i="7"/>
  <c r="D20" i="7" s="1"/>
  <c r="C19" i="7"/>
  <c r="D19" i="7" s="1"/>
  <c r="C18" i="7"/>
  <c r="D18" i="7" s="1"/>
  <c r="C17" i="7"/>
  <c r="D17" i="7" s="1"/>
  <c r="C16" i="7"/>
  <c r="D16" i="7" s="1"/>
  <c r="C15" i="7"/>
  <c r="D15" i="7" s="1"/>
  <c r="C14" i="7"/>
  <c r="D14" i="7" s="1"/>
  <c r="C13" i="7"/>
  <c r="D13" i="7" s="1"/>
  <c r="C12" i="7"/>
  <c r="D12" i="7" s="1"/>
  <c r="C11" i="7"/>
  <c r="D11" i="7" s="1"/>
  <c r="C10" i="7"/>
  <c r="D10" i="7" s="1"/>
  <c r="C9" i="7"/>
  <c r="D9" i="7" s="1"/>
  <c r="C8" i="7"/>
  <c r="D8" i="7" s="1"/>
  <c r="C7" i="7"/>
  <c r="D7" i="7" s="1"/>
  <c r="C6" i="7"/>
  <c r="D6" i="7" s="1"/>
  <c r="D5" i="7"/>
  <c r="S5" i="7" l="1"/>
  <c r="R6" i="7"/>
  <c r="V7" i="7"/>
  <c r="O8" i="7"/>
  <c r="O9" i="7" s="1"/>
  <c r="V6" i="7"/>
  <c r="V5" i="7"/>
  <c r="S4" i="7"/>
  <c r="V4" i="7"/>
  <c r="W4" i="7" s="1"/>
  <c r="F8" i="7"/>
  <c r="H5" i="7"/>
  <c r="J5" i="7" s="1"/>
  <c r="V9" i="7" l="1"/>
  <c r="O10" i="7"/>
  <c r="V8" i="7"/>
  <c r="S6" i="7"/>
  <c r="R7" i="7"/>
  <c r="X4" i="7"/>
  <c r="W5" i="7"/>
  <c r="F9" i="7"/>
  <c r="H8" i="7"/>
  <c r="J8" i="7" s="1"/>
  <c r="H7" i="7"/>
  <c r="J7" i="7" s="1"/>
  <c r="X5" i="7" l="1"/>
  <c r="W6" i="7"/>
  <c r="O11" i="7"/>
  <c r="V10" i="7"/>
  <c r="S7" i="7"/>
  <c r="R8" i="7"/>
  <c r="F10" i="7"/>
  <c r="H9" i="7"/>
  <c r="J9" i="7" s="1"/>
  <c r="O12" i="7" l="1"/>
  <c r="V11" i="7"/>
  <c r="S8" i="7"/>
  <c r="R9" i="7"/>
  <c r="X6" i="7"/>
  <c r="W7" i="7"/>
  <c r="I10" i="7"/>
  <c r="F11" i="7"/>
  <c r="S9" i="7" l="1"/>
  <c r="R10" i="7"/>
  <c r="X7" i="7"/>
  <c r="W8" i="7"/>
  <c r="V12" i="7"/>
  <c r="O13" i="7"/>
  <c r="F12" i="7"/>
  <c r="I11" i="7"/>
  <c r="H11" i="7"/>
  <c r="J11" i="7" s="1"/>
  <c r="H10" i="7"/>
  <c r="J10" i="7" s="1"/>
  <c r="V13" i="7" l="1"/>
  <c r="O14" i="7"/>
  <c r="S10" i="7"/>
  <c r="R11" i="7"/>
  <c r="X8" i="7"/>
  <c r="W9" i="7"/>
  <c r="I12" i="7"/>
  <c r="F13" i="7"/>
  <c r="H12" i="7" s="1"/>
  <c r="J12" i="7" s="1"/>
  <c r="X9" i="7" l="1"/>
  <c r="W10" i="7"/>
  <c r="O15" i="7"/>
  <c r="V14" i="7"/>
  <c r="S11" i="7"/>
  <c r="R12" i="7"/>
  <c r="F14" i="7"/>
  <c r="I13" i="7"/>
  <c r="H13" i="7"/>
  <c r="J13" i="7" s="1"/>
  <c r="O16" i="7" l="1"/>
  <c r="V15" i="7"/>
  <c r="S12" i="7"/>
  <c r="R13" i="7"/>
  <c r="X10" i="7"/>
  <c r="W11" i="7"/>
  <c r="F15" i="7"/>
  <c r="I14" i="7"/>
  <c r="S13" i="7" l="1"/>
  <c r="R14" i="7"/>
  <c r="X11" i="7"/>
  <c r="W12" i="7"/>
  <c r="O17" i="7"/>
  <c r="V16" i="7"/>
  <c r="F16" i="7"/>
  <c r="I15" i="7"/>
  <c r="H15" i="7"/>
  <c r="J15" i="7" s="1"/>
  <c r="H14" i="7"/>
  <c r="J14" i="7" s="1"/>
  <c r="X12" i="7" l="1"/>
  <c r="W13" i="7"/>
  <c r="S14" i="7"/>
  <c r="R15" i="7"/>
  <c r="O18" i="7"/>
  <c r="V17" i="7"/>
  <c r="I16" i="7"/>
  <c r="F17" i="7"/>
  <c r="H16" i="7" s="1"/>
  <c r="J16" i="7" s="1"/>
  <c r="S15" i="7" l="1"/>
  <c r="R16" i="7"/>
  <c r="X13" i="7"/>
  <c r="W14" i="7"/>
  <c r="O19" i="7"/>
  <c r="V18" i="7"/>
  <c r="F18" i="7"/>
  <c r="I17" i="7"/>
  <c r="H17" i="7"/>
  <c r="J17" i="7" s="1"/>
  <c r="S16" i="7" l="1"/>
  <c r="R17" i="7"/>
  <c r="X14" i="7"/>
  <c r="W15" i="7"/>
  <c r="O20" i="7"/>
  <c r="V19" i="7"/>
  <c r="F19" i="7"/>
  <c r="H18" i="7" s="1"/>
  <c r="J18" i="7" s="1"/>
  <c r="I18" i="7"/>
  <c r="S17" i="7" l="1"/>
  <c r="R18" i="7"/>
  <c r="X15" i="7"/>
  <c r="W16" i="7"/>
  <c r="O21" i="7"/>
  <c r="V20" i="7"/>
  <c r="F20" i="7"/>
  <c r="I19" i="7"/>
  <c r="H19" i="7"/>
  <c r="J19" i="7" s="1"/>
  <c r="X16" i="7" l="1"/>
  <c r="W17" i="7"/>
  <c r="S18" i="7"/>
  <c r="R19" i="7"/>
  <c r="O22" i="7"/>
  <c r="V21" i="7"/>
  <c r="F21" i="7"/>
  <c r="H20" i="7" s="1"/>
  <c r="I20" i="7"/>
  <c r="X17" i="7" l="1"/>
  <c r="W18" i="7"/>
  <c r="S19" i="7"/>
  <c r="R20" i="7"/>
  <c r="O23" i="7"/>
  <c r="V22" i="7"/>
  <c r="J20" i="7"/>
  <c r="F22" i="7"/>
  <c r="I21" i="7"/>
  <c r="H21" i="7"/>
  <c r="J21" i="7" s="1"/>
  <c r="X18" i="7" l="1"/>
  <c r="W19" i="7"/>
  <c r="S20" i="7"/>
  <c r="R21" i="7"/>
  <c r="O24" i="7"/>
  <c r="V23" i="7"/>
  <c r="F23" i="7"/>
  <c r="H22" i="7" s="1"/>
  <c r="J22" i="7" s="1"/>
  <c r="I22" i="7"/>
  <c r="X19" i="7" l="1"/>
  <c r="W20" i="7"/>
  <c r="S21" i="7"/>
  <c r="R22" i="7"/>
  <c r="O25" i="7"/>
  <c r="V24" i="7"/>
  <c r="F24" i="7"/>
  <c r="I23" i="7"/>
  <c r="H23" i="7"/>
  <c r="J23" i="7" s="1"/>
  <c r="S22" i="7" l="1"/>
  <c r="R23" i="7"/>
  <c r="X20" i="7"/>
  <c r="W21" i="7"/>
  <c r="O26" i="7"/>
  <c r="V25" i="7"/>
  <c r="F25" i="7"/>
  <c r="I24" i="7"/>
  <c r="S23" i="7" l="1"/>
  <c r="R24" i="7"/>
  <c r="X21" i="7"/>
  <c r="W22" i="7"/>
  <c r="O27" i="7"/>
  <c r="V26" i="7"/>
  <c r="F26" i="7"/>
  <c r="I25" i="7"/>
  <c r="H25" i="7"/>
  <c r="J25" i="7" s="1"/>
  <c r="H24" i="7"/>
  <c r="J24" i="7" s="1"/>
  <c r="S24" i="7" l="1"/>
  <c r="R25" i="7"/>
  <c r="X22" i="7"/>
  <c r="W23" i="7"/>
  <c r="O28" i="7"/>
  <c r="V28" i="7" s="1"/>
  <c r="V27" i="7"/>
  <c r="H26" i="7"/>
  <c r="I26" i="7"/>
  <c r="F27" i="7"/>
  <c r="X23" i="7" l="1"/>
  <c r="W24" i="7"/>
  <c r="S25" i="7"/>
  <c r="R26" i="7"/>
  <c r="J26" i="7"/>
  <c r="F28" i="7"/>
  <c r="I27" i="7"/>
  <c r="H27" i="7"/>
  <c r="J27" i="7" s="1"/>
  <c r="X24" i="7" l="1"/>
  <c r="W25" i="7"/>
  <c r="S26" i="7"/>
  <c r="R27" i="7"/>
  <c r="H28" i="7"/>
  <c r="I28" i="7"/>
  <c r="X25" i="7" l="1"/>
  <c r="W26" i="7"/>
  <c r="S27" i="7"/>
  <c r="R28" i="7"/>
  <c r="S28" i="7" s="1"/>
  <c r="S30" i="7" s="1"/>
  <c r="J28" i="7"/>
  <c r="L28" i="7" s="1"/>
  <c r="L27" i="7" s="1"/>
  <c r="L26" i="7" s="1"/>
  <c r="L25" i="7" s="1"/>
  <c r="L24" i="7" s="1"/>
  <c r="L23" i="7" s="1"/>
  <c r="L22" i="7" s="1"/>
  <c r="L21" i="7" s="1"/>
  <c r="L20" i="7" s="1"/>
  <c r="L19" i="7" s="1"/>
  <c r="L18" i="7" s="1"/>
  <c r="L17" i="7" s="1"/>
  <c r="L16" i="7" s="1"/>
  <c r="L15" i="7" s="1"/>
  <c r="L14" i="7" s="1"/>
  <c r="L13" i="7" s="1"/>
  <c r="L12" i="7" s="1"/>
  <c r="L11" i="7" s="1"/>
  <c r="L10" i="7" s="1"/>
  <c r="L9" i="7" s="1"/>
  <c r="L8" i="7" s="1"/>
  <c r="L7" i="7" s="1"/>
  <c r="L6" i="7" s="1"/>
  <c r="L5" i="7" s="1"/>
  <c r="L4" i="7" s="1"/>
  <c r="X26" i="7" l="1"/>
  <c r="W27" i="7"/>
  <c r="X27" i="7" l="1"/>
  <c r="W28" i="7"/>
  <c r="X28" i="7" s="1"/>
  <c r="X30" i="7" s="1"/>
  <c r="A19" i="1" l="1"/>
  <c r="F21" i="5"/>
  <c r="J21" i="5" s="1"/>
  <c r="F20" i="5"/>
  <c r="J20" i="5" s="1"/>
  <c r="E20" i="5"/>
  <c r="F19" i="5"/>
  <c r="E19" i="5"/>
  <c r="J19" i="5" s="1"/>
  <c r="F18" i="5"/>
  <c r="J18" i="5" s="1"/>
  <c r="E18" i="5"/>
  <c r="J17" i="5"/>
  <c r="F17" i="5"/>
  <c r="E17" i="5"/>
  <c r="F16" i="5"/>
  <c r="E16" i="5"/>
  <c r="J16" i="5" s="1"/>
  <c r="F15" i="5"/>
  <c r="E15" i="5"/>
  <c r="J15" i="5" s="1"/>
  <c r="F14" i="5"/>
  <c r="J14" i="5" s="1"/>
  <c r="E14" i="5"/>
  <c r="D14" i="5"/>
  <c r="D15" i="5" s="1"/>
  <c r="K15" i="5" s="1"/>
  <c r="L15" i="5" s="1"/>
  <c r="K13" i="5"/>
  <c r="J13" i="5"/>
  <c r="L13" i="5" s="1"/>
  <c r="E13" i="5"/>
  <c r="F21" i="4"/>
  <c r="J21" i="4" s="1"/>
  <c r="J20" i="4"/>
  <c r="F20" i="4"/>
  <c r="E20" i="4"/>
  <c r="J19" i="4"/>
  <c r="F19" i="4"/>
  <c r="E19" i="4"/>
  <c r="J18" i="4"/>
  <c r="F18" i="4"/>
  <c r="E18" i="4"/>
  <c r="F17" i="4"/>
  <c r="E17" i="4"/>
  <c r="J17" i="4" s="1"/>
  <c r="F16" i="4"/>
  <c r="E16" i="4"/>
  <c r="J16" i="4" s="1"/>
  <c r="F15" i="4"/>
  <c r="J15" i="4" s="1"/>
  <c r="E15" i="4"/>
  <c r="J14" i="4"/>
  <c r="F14" i="4"/>
  <c r="E14" i="4"/>
  <c r="D14" i="4"/>
  <c r="D15" i="4" s="1"/>
  <c r="K13" i="4"/>
  <c r="E13" i="4"/>
  <c r="J13" i="4" s="1"/>
  <c r="L13" i="4" s="1"/>
  <c r="M13" i="5" l="1"/>
  <c r="N13" i="5" s="1"/>
  <c r="O13" i="5" s="1"/>
  <c r="D16" i="5"/>
  <c r="K14" i="5"/>
  <c r="L14" i="5" s="1"/>
  <c r="M13" i="4"/>
  <c r="N13" i="4" s="1"/>
  <c r="O13" i="4" s="1"/>
  <c r="L15" i="4"/>
  <c r="D16" i="4"/>
  <c r="K15" i="4"/>
  <c r="K14" i="4"/>
  <c r="L14" i="4" s="1"/>
  <c r="M15" i="5" l="1"/>
  <c r="N15" i="5" s="1"/>
  <c r="M14" i="5"/>
  <c r="N14" i="5" s="1"/>
  <c r="O14" i="5" s="1"/>
  <c r="D17" i="5"/>
  <c r="K16" i="5"/>
  <c r="L16" i="5" s="1"/>
  <c r="M15" i="4"/>
  <c r="N15" i="4" s="1"/>
  <c r="O15" i="4" s="1"/>
  <c r="M14" i="4"/>
  <c r="N14" i="4" s="1"/>
  <c r="O14" i="4" s="1"/>
  <c r="K16" i="4"/>
  <c r="L16" i="4" s="1"/>
  <c r="D17" i="4"/>
  <c r="M16" i="5" l="1"/>
  <c r="N16" i="5" s="1"/>
  <c r="O16" i="5" s="1"/>
  <c r="D18" i="5"/>
  <c r="K17" i="5"/>
  <c r="L17" i="5" s="1"/>
  <c r="M17" i="5"/>
  <c r="N17" i="5" s="1"/>
  <c r="O17" i="5" s="1"/>
  <c r="O15" i="5"/>
  <c r="K17" i="4"/>
  <c r="L17" i="4" s="1"/>
  <c r="D18" i="4"/>
  <c r="M16" i="4"/>
  <c r="N16" i="4" s="1"/>
  <c r="O16" i="4" s="1"/>
  <c r="M18" i="5" l="1"/>
  <c r="N18" i="5" s="1"/>
  <c r="O18" i="5" s="1"/>
  <c r="D19" i="5"/>
  <c r="K18" i="5"/>
  <c r="L18" i="5" s="1"/>
  <c r="D19" i="4"/>
  <c r="K18" i="4"/>
  <c r="L18" i="4" s="1"/>
  <c r="M17" i="4"/>
  <c r="N17" i="4" s="1"/>
  <c r="O17" i="4" s="1"/>
  <c r="M18" i="4"/>
  <c r="N18" i="4" s="1"/>
  <c r="O18" i="4" s="1"/>
  <c r="D20" i="5" l="1"/>
  <c r="K19" i="5"/>
  <c r="L19" i="5" s="1"/>
  <c r="K19" i="4"/>
  <c r="L19" i="4" s="1"/>
  <c r="D20" i="4"/>
  <c r="K20" i="5" l="1"/>
  <c r="L20" i="5" s="1"/>
  <c r="M20" i="5" s="1"/>
  <c r="N20" i="5" s="1"/>
  <c r="D21" i="5"/>
  <c r="M19" i="5"/>
  <c r="N19" i="5" s="1"/>
  <c r="O19" i="5" s="1"/>
  <c r="D21" i="4"/>
  <c r="K20" i="4"/>
  <c r="L20" i="4" s="1"/>
  <c r="M19" i="4"/>
  <c r="N19" i="4" s="1"/>
  <c r="O19" i="4" s="1"/>
  <c r="M20" i="4"/>
  <c r="N20" i="4" s="1"/>
  <c r="K21" i="5" l="1"/>
  <c r="L21" i="5" s="1"/>
  <c r="M21" i="5" s="1"/>
  <c r="N21" i="5" s="1"/>
  <c r="O21" i="5" s="1"/>
  <c r="D22" i="5"/>
  <c r="O20" i="5"/>
  <c r="D22" i="4"/>
  <c r="K21" i="4"/>
  <c r="L21" i="4" s="1"/>
  <c r="O20" i="4"/>
  <c r="H22" i="5" l="1"/>
  <c r="D23" i="5"/>
  <c r="K22" i="5"/>
  <c r="G22" i="5"/>
  <c r="J22" i="5" s="1"/>
  <c r="L22" i="5" s="1"/>
  <c r="M22" i="5" s="1"/>
  <c r="N22" i="5" s="1"/>
  <c r="O22" i="5" s="1"/>
  <c r="M21" i="4"/>
  <c r="N21" i="4" s="1"/>
  <c r="O21" i="4" s="1"/>
  <c r="K22" i="4"/>
  <c r="G22" i="4"/>
  <c r="J22" i="4" s="1"/>
  <c r="H22" i="4"/>
  <c r="D23" i="4"/>
  <c r="H23" i="5" l="1"/>
  <c r="G23" i="5"/>
  <c r="J23" i="5" s="1"/>
  <c r="L23" i="5" s="1"/>
  <c r="M23" i="5" s="1"/>
  <c r="N23" i="5" s="1"/>
  <c r="O23" i="5" s="1"/>
  <c r="D24" i="5"/>
  <c r="K23" i="5"/>
  <c r="H23" i="4"/>
  <c r="G23" i="4"/>
  <c r="J23" i="4" s="1"/>
  <c r="L23" i="4" s="1"/>
  <c r="M23" i="4" s="1"/>
  <c r="N23" i="4" s="1"/>
  <c r="O23" i="4" s="1"/>
  <c r="K23" i="4"/>
  <c r="D24" i="4"/>
  <c r="L22" i="4"/>
  <c r="M22" i="4" s="1"/>
  <c r="N22" i="4" s="1"/>
  <c r="O22" i="4" s="1"/>
  <c r="D25" i="5" l="1"/>
  <c r="G24" i="5"/>
  <c r="H24" i="5"/>
  <c r="K24" i="5"/>
  <c r="H24" i="4"/>
  <c r="D25" i="4"/>
  <c r="K24" i="4"/>
  <c r="G24" i="4"/>
  <c r="J24" i="4" s="1"/>
  <c r="L24" i="4" s="1"/>
  <c r="M24" i="4" s="1"/>
  <c r="N24" i="4" s="1"/>
  <c r="O24" i="4" s="1"/>
  <c r="J24" i="5" l="1"/>
  <c r="L24" i="5" s="1"/>
  <c r="M24" i="5" s="1"/>
  <c r="N24" i="5" s="1"/>
  <c r="O24" i="5" s="1"/>
  <c r="K25" i="5"/>
  <c r="H25" i="5"/>
  <c r="G25" i="5"/>
  <c r="J25" i="5" s="1"/>
  <c r="L25" i="5" s="1"/>
  <c r="M25" i="5" s="1"/>
  <c r="N25" i="5" s="1"/>
  <c r="O25" i="5" s="1"/>
  <c r="D26" i="5"/>
  <c r="I25" i="5"/>
  <c r="K25" i="4"/>
  <c r="G25" i="4"/>
  <c r="D26" i="4"/>
  <c r="I25" i="4"/>
  <c r="H25" i="4"/>
  <c r="D27" i="5" l="1"/>
  <c r="H26" i="5"/>
  <c r="K26" i="5"/>
  <c r="G26" i="5"/>
  <c r="J26" i="5" s="1"/>
  <c r="L26" i="5" s="1"/>
  <c r="M26" i="5" s="1"/>
  <c r="N26" i="5" s="1"/>
  <c r="O26" i="5" s="1"/>
  <c r="I26" i="5"/>
  <c r="J25" i="4"/>
  <c r="L25" i="4" s="1"/>
  <c r="M25" i="4" s="1"/>
  <c r="N25" i="4" s="1"/>
  <c r="O25" i="4" s="1"/>
  <c r="I26" i="4"/>
  <c r="G26" i="4"/>
  <c r="J26" i="4" s="1"/>
  <c r="L26" i="4" s="1"/>
  <c r="M26" i="4" s="1"/>
  <c r="N26" i="4" s="1"/>
  <c r="O26" i="4" s="1"/>
  <c r="D27" i="4"/>
  <c r="K26" i="4"/>
  <c r="H26" i="4"/>
  <c r="I27" i="5" l="1"/>
  <c r="G27" i="5"/>
  <c r="K27" i="5"/>
  <c r="H27" i="5"/>
  <c r="D28" i="5"/>
  <c r="K27" i="4"/>
  <c r="G27" i="4"/>
  <c r="H27" i="4"/>
  <c r="I27" i="4"/>
  <c r="D28" i="4"/>
  <c r="J27" i="5" l="1"/>
  <c r="L27" i="5" s="1"/>
  <c r="M27" i="5" s="1"/>
  <c r="N27" i="5" s="1"/>
  <c r="O27" i="5" s="1"/>
  <c r="D29" i="5"/>
  <c r="H28" i="5"/>
  <c r="K28" i="5"/>
  <c r="G28" i="5"/>
  <c r="J28" i="5" s="1"/>
  <c r="L28" i="5" s="1"/>
  <c r="M28" i="5" s="1"/>
  <c r="N28" i="5" s="1"/>
  <c r="O28" i="5" s="1"/>
  <c r="I28" i="5"/>
  <c r="J27" i="4"/>
  <c r="L27" i="4" s="1"/>
  <c r="M27" i="4" s="1"/>
  <c r="N27" i="4" s="1"/>
  <c r="O27" i="4" s="1"/>
  <c r="I28" i="4"/>
  <c r="H28" i="4"/>
  <c r="G28" i="4"/>
  <c r="J28" i="4" s="1"/>
  <c r="L28" i="4" s="1"/>
  <c r="M28" i="4" s="1"/>
  <c r="N28" i="4" s="1"/>
  <c r="O28" i="4" s="1"/>
  <c r="K28" i="4"/>
  <c r="D29" i="4"/>
  <c r="I29" i="5" l="1"/>
  <c r="K29" i="5"/>
  <c r="G29" i="5"/>
  <c r="J29" i="5" s="1"/>
  <c r="L29" i="5" s="1"/>
  <c r="M29" i="5" s="1"/>
  <c r="N29" i="5" s="1"/>
  <c r="O29" i="5" s="1"/>
  <c r="D30" i="5"/>
  <c r="H29" i="5"/>
  <c r="K29" i="4"/>
  <c r="G29" i="4"/>
  <c r="I29" i="4"/>
  <c r="H29" i="4"/>
  <c r="D30" i="4"/>
  <c r="D31" i="5" l="1"/>
  <c r="H30" i="5"/>
  <c r="K30" i="5"/>
  <c r="G30" i="5"/>
  <c r="J30" i="5" s="1"/>
  <c r="L30" i="5" s="1"/>
  <c r="M30" i="5" s="1"/>
  <c r="N30" i="5" s="1"/>
  <c r="O30" i="5" s="1"/>
  <c r="I30" i="5"/>
  <c r="J29" i="4"/>
  <c r="L29" i="4" s="1"/>
  <c r="M29" i="4" s="1"/>
  <c r="N29" i="4" s="1"/>
  <c r="O29" i="4" s="1"/>
  <c r="I30" i="4"/>
  <c r="H30" i="4"/>
  <c r="D31" i="4"/>
  <c r="G30" i="4"/>
  <c r="J30" i="4" s="1"/>
  <c r="L30" i="4" s="1"/>
  <c r="M30" i="4" s="1"/>
  <c r="N30" i="4" s="1"/>
  <c r="O30" i="4" s="1"/>
  <c r="K30" i="4"/>
  <c r="I31" i="5" l="1"/>
  <c r="G31" i="5"/>
  <c r="J31" i="5" s="1"/>
  <c r="L31" i="5" s="1"/>
  <c r="M31" i="5" s="1"/>
  <c r="N31" i="5" s="1"/>
  <c r="O31" i="5" s="1"/>
  <c r="K31" i="5"/>
  <c r="H31" i="5"/>
  <c r="D32" i="5"/>
  <c r="K31" i="4"/>
  <c r="G31" i="4"/>
  <c r="D32" i="4"/>
  <c r="I31" i="4"/>
  <c r="H31" i="4"/>
  <c r="D33" i="5" l="1"/>
  <c r="H32" i="5"/>
  <c r="K32" i="5"/>
  <c r="G32" i="5"/>
  <c r="J32" i="5" s="1"/>
  <c r="L32" i="5" s="1"/>
  <c r="M32" i="5" s="1"/>
  <c r="N32" i="5" s="1"/>
  <c r="O32" i="5" s="1"/>
  <c r="I32" i="5"/>
  <c r="I32" i="4"/>
  <c r="D33" i="4"/>
  <c r="K32" i="4"/>
  <c r="G32" i="4"/>
  <c r="J32" i="4" s="1"/>
  <c r="L32" i="4" s="1"/>
  <c r="M32" i="4" s="1"/>
  <c r="N32" i="4" s="1"/>
  <c r="O32" i="4" s="1"/>
  <c r="H32" i="4"/>
  <c r="J31" i="4"/>
  <c r="L31" i="4" s="1"/>
  <c r="M31" i="4" s="1"/>
  <c r="N31" i="4" s="1"/>
  <c r="O31" i="4" s="1"/>
  <c r="K33" i="5" l="1"/>
  <c r="G33" i="5"/>
  <c r="I33" i="5"/>
  <c r="D34" i="5"/>
  <c r="H33" i="5"/>
  <c r="K33" i="4"/>
  <c r="G33" i="4"/>
  <c r="D34" i="4"/>
  <c r="H33" i="4"/>
  <c r="I33" i="4"/>
  <c r="J33" i="5" l="1"/>
  <c r="L33" i="5" s="1"/>
  <c r="M33" i="5" s="1"/>
  <c r="N33" i="5" s="1"/>
  <c r="O33" i="5" s="1"/>
  <c r="I34" i="5"/>
  <c r="D35" i="5"/>
  <c r="H34" i="5"/>
  <c r="K34" i="5"/>
  <c r="G34" i="5"/>
  <c r="I34" i="4"/>
  <c r="G34" i="4"/>
  <c r="J34" i="4" s="1"/>
  <c r="D35" i="4"/>
  <c r="K34" i="4"/>
  <c r="H34" i="4"/>
  <c r="J33" i="4"/>
  <c r="L33" i="4" s="1"/>
  <c r="M33" i="4" s="1"/>
  <c r="N33" i="4" s="1"/>
  <c r="O33" i="4" s="1"/>
  <c r="K35" i="5" l="1"/>
  <c r="G35" i="5"/>
  <c r="I35" i="5"/>
  <c r="D36" i="5"/>
  <c r="H35" i="5"/>
  <c r="J34" i="5"/>
  <c r="L34" i="5" s="1"/>
  <c r="M34" i="5" s="1"/>
  <c r="N34" i="5" s="1"/>
  <c r="O34" i="5" s="1"/>
  <c r="K35" i="4"/>
  <c r="G35" i="4"/>
  <c r="H35" i="4"/>
  <c r="I35" i="4"/>
  <c r="D36" i="4"/>
  <c r="L34" i="4"/>
  <c r="M34" i="4" s="1"/>
  <c r="N34" i="4" s="1"/>
  <c r="O34" i="4" s="1"/>
  <c r="I36" i="5" l="1"/>
  <c r="D37" i="5"/>
  <c r="H36" i="5"/>
  <c r="K36" i="5"/>
  <c r="G36" i="5"/>
  <c r="J36" i="5" s="1"/>
  <c r="J35" i="5"/>
  <c r="L35" i="5" s="1"/>
  <c r="M35" i="5" s="1"/>
  <c r="N35" i="5" s="1"/>
  <c r="O35" i="5" s="1"/>
  <c r="J35" i="4"/>
  <c r="L35" i="4" s="1"/>
  <c r="M35" i="4" s="1"/>
  <c r="N35" i="4" s="1"/>
  <c r="O35" i="4" s="1"/>
  <c r="I36" i="4"/>
  <c r="H36" i="4"/>
  <c r="G36" i="4"/>
  <c r="J36" i="4" s="1"/>
  <c r="L36" i="4" s="1"/>
  <c r="M36" i="4" s="1"/>
  <c r="N36" i="4" s="1"/>
  <c r="O36" i="4" s="1"/>
  <c r="D37" i="4"/>
  <c r="K36" i="4"/>
  <c r="K37" i="5" l="1"/>
  <c r="G37" i="5"/>
  <c r="I37" i="5"/>
  <c r="H37" i="5"/>
  <c r="D38" i="5"/>
  <c r="L36" i="5"/>
  <c r="M36" i="5" s="1"/>
  <c r="N36" i="5" s="1"/>
  <c r="O36" i="5" s="1"/>
  <c r="K37" i="4"/>
  <c r="G37" i="4"/>
  <c r="I37" i="4"/>
  <c r="H37" i="4"/>
  <c r="D38" i="4"/>
  <c r="J37" i="5" l="1"/>
  <c r="L37" i="5" s="1"/>
  <c r="M37" i="5" s="1"/>
  <c r="N37" i="5" s="1"/>
  <c r="O37" i="5" s="1"/>
  <c r="I38" i="5"/>
  <c r="D39" i="5"/>
  <c r="H38" i="5"/>
  <c r="K38" i="5"/>
  <c r="G38" i="5"/>
  <c r="J37" i="4"/>
  <c r="L37" i="4" s="1"/>
  <c r="M37" i="4" s="1"/>
  <c r="N37" i="4" s="1"/>
  <c r="O37" i="4" s="1"/>
  <c r="I38" i="4"/>
  <c r="H38" i="4"/>
  <c r="K38" i="4"/>
  <c r="G38" i="4"/>
  <c r="J38" i="4" s="1"/>
  <c r="L38" i="4" s="1"/>
  <c r="M38" i="4" s="1"/>
  <c r="N38" i="4" s="1"/>
  <c r="O38" i="4" s="1"/>
  <c r="D39" i="4"/>
  <c r="K39" i="5" l="1"/>
  <c r="G39" i="5"/>
  <c r="I39" i="5"/>
  <c r="H39" i="5"/>
  <c r="D40" i="5"/>
  <c r="J38" i="5"/>
  <c r="L38" i="5" s="1"/>
  <c r="M38" i="5" s="1"/>
  <c r="N38" i="5" s="1"/>
  <c r="O38" i="5" s="1"/>
  <c r="K39" i="4"/>
  <c r="G39" i="4"/>
  <c r="J39" i="4" s="1"/>
  <c r="L39" i="4" s="1"/>
  <c r="M39" i="4" s="1"/>
  <c r="N39" i="4" s="1"/>
  <c r="O39" i="4" s="1"/>
  <c r="D40" i="4"/>
  <c r="I39" i="4"/>
  <c r="H39" i="4"/>
  <c r="J39" i="5" l="1"/>
  <c r="L39" i="5" s="1"/>
  <c r="M39" i="5" s="1"/>
  <c r="N39" i="5" s="1"/>
  <c r="O39" i="5" s="1"/>
  <c r="I40" i="5"/>
  <c r="D41" i="5"/>
  <c r="H40" i="5"/>
  <c r="K40" i="5"/>
  <c r="G40" i="5"/>
  <c r="J40" i="5" s="1"/>
  <c r="L40" i="5" s="1"/>
  <c r="M40" i="5" s="1"/>
  <c r="N40" i="5" s="1"/>
  <c r="O40" i="5" s="1"/>
  <c r="I40" i="4"/>
  <c r="D41" i="4"/>
  <c r="K40" i="4"/>
  <c r="H40" i="4"/>
  <c r="G40" i="4"/>
  <c r="K41" i="5" l="1"/>
  <c r="G41" i="5"/>
  <c r="I41" i="5"/>
  <c r="D42" i="5"/>
  <c r="H41" i="5"/>
  <c r="K41" i="4"/>
  <c r="G41" i="4"/>
  <c r="D42" i="4"/>
  <c r="I41" i="4"/>
  <c r="H41" i="4"/>
  <c r="J40" i="4"/>
  <c r="L40" i="4" s="1"/>
  <c r="M40" i="4" s="1"/>
  <c r="N40" i="4" s="1"/>
  <c r="O40" i="4" s="1"/>
  <c r="J41" i="5" l="1"/>
  <c r="L41" i="5" s="1"/>
  <c r="M41" i="5" s="1"/>
  <c r="N41" i="5" s="1"/>
  <c r="O41" i="5" s="1"/>
  <c r="I42" i="5"/>
  <c r="D43" i="5"/>
  <c r="H42" i="5"/>
  <c r="K42" i="5"/>
  <c r="G42" i="5"/>
  <c r="J42" i="5" s="1"/>
  <c r="L42" i="5" s="1"/>
  <c r="M42" i="5" s="1"/>
  <c r="N42" i="5" s="1"/>
  <c r="O42" i="5" s="1"/>
  <c r="I42" i="4"/>
  <c r="G42" i="4"/>
  <c r="J42" i="4" s="1"/>
  <c r="L42" i="4" s="1"/>
  <c r="M42" i="4" s="1"/>
  <c r="N42" i="4" s="1"/>
  <c r="O42" i="4" s="1"/>
  <c r="D43" i="4"/>
  <c r="K42" i="4"/>
  <c r="H42" i="4"/>
  <c r="J41" i="4"/>
  <c r="L41" i="4" s="1"/>
  <c r="M41" i="4" s="1"/>
  <c r="N41" i="4" s="1"/>
  <c r="O41" i="4" s="1"/>
  <c r="K43" i="5" l="1"/>
  <c r="G43" i="5"/>
  <c r="I43" i="5"/>
  <c r="D44" i="5"/>
  <c r="H43" i="5"/>
  <c r="K43" i="4"/>
  <c r="G43" i="4"/>
  <c r="J43" i="4" s="1"/>
  <c r="L43" i="4" s="1"/>
  <c r="M43" i="4" s="1"/>
  <c r="N43" i="4" s="1"/>
  <c r="O43" i="4" s="1"/>
  <c r="H43" i="4"/>
  <c r="D44" i="4"/>
  <c r="I43" i="4"/>
  <c r="I44" i="5" l="1"/>
  <c r="D45" i="5"/>
  <c r="H44" i="5"/>
  <c r="K44" i="5"/>
  <c r="G44" i="5"/>
  <c r="J43" i="5"/>
  <c r="L43" i="5" s="1"/>
  <c r="M43" i="5" s="1"/>
  <c r="N43" i="5" s="1"/>
  <c r="O43" i="5" s="1"/>
  <c r="I44" i="4"/>
  <c r="H44" i="4"/>
  <c r="G44" i="4"/>
  <c r="J44" i="4" s="1"/>
  <c r="L44" i="4" s="1"/>
  <c r="M44" i="4" s="1"/>
  <c r="N44" i="4" s="1"/>
  <c r="O44" i="4" s="1"/>
  <c r="D45" i="4"/>
  <c r="K44" i="4"/>
  <c r="K45" i="5" l="1"/>
  <c r="G45" i="5"/>
  <c r="I45" i="5"/>
  <c r="D46" i="5"/>
  <c r="H45" i="5"/>
  <c r="J44" i="5"/>
  <c r="L44" i="5" s="1"/>
  <c r="M44" i="5" s="1"/>
  <c r="N44" i="5" s="1"/>
  <c r="O44" i="5" s="1"/>
  <c r="K45" i="4"/>
  <c r="G45" i="4"/>
  <c r="J45" i="4" s="1"/>
  <c r="L45" i="4" s="1"/>
  <c r="M45" i="4" s="1"/>
  <c r="N45" i="4" s="1"/>
  <c r="O45" i="4" s="1"/>
  <c r="I45" i="4"/>
  <c r="H45" i="4"/>
  <c r="D46" i="4"/>
  <c r="I46" i="5" l="1"/>
  <c r="D47" i="5"/>
  <c r="H46" i="5"/>
  <c r="K46" i="5"/>
  <c r="G46" i="5"/>
  <c r="J45" i="5"/>
  <c r="L45" i="5" s="1"/>
  <c r="M45" i="5" s="1"/>
  <c r="N45" i="5" s="1"/>
  <c r="O45" i="5" s="1"/>
  <c r="I46" i="4"/>
  <c r="H46" i="4"/>
  <c r="G46" i="4"/>
  <c r="J46" i="4" s="1"/>
  <c r="L46" i="4" s="1"/>
  <c r="M46" i="4" s="1"/>
  <c r="N46" i="4" s="1"/>
  <c r="O46" i="4" s="1"/>
  <c r="D47" i="4"/>
  <c r="K46" i="4"/>
  <c r="K47" i="5" l="1"/>
  <c r="G47" i="5"/>
  <c r="I47" i="5"/>
  <c r="H47" i="5"/>
  <c r="D48" i="5"/>
  <c r="J46" i="5"/>
  <c r="L46" i="5" s="1"/>
  <c r="M46" i="5" s="1"/>
  <c r="N46" i="5" s="1"/>
  <c r="O46" i="5" s="1"/>
  <c r="K47" i="4"/>
  <c r="G47" i="4"/>
  <c r="J47" i="4" s="1"/>
  <c r="L47" i="4" s="1"/>
  <c r="M47" i="4" s="1"/>
  <c r="N47" i="4" s="1"/>
  <c r="O47" i="4" s="1"/>
  <c r="D48" i="4"/>
  <c r="I47" i="4"/>
  <c r="H47" i="4"/>
  <c r="J47" i="5" l="1"/>
  <c r="L47" i="5" s="1"/>
  <c r="M47" i="5" s="1"/>
  <c r="N47" i="5" s="1"/>
  <c r="O47" i="5" s="1"/>
  <c r="I48" i="5"/>
  <c r="D49" i="5"/>
  <c r="H48" i="5"/>
  <c r="K48" i="5"/>
  <c r="G48" i="5"/>
  <c r="I48" i="4"/>
  <c r="D49" i="4"/>
  <c r="K48" i="4"/>
  <c r="H48" i="4"/>
  <c r="G48" i="4"/>
  <c r="K49" i="5" l="1"/>
  <c r="G49" i="5"/>
  <c r="J49" i="5" s="1"/>
  <c r="L49" i="5" s="1"/>
  <c r="M49" i="5" s="1"/>
  <c r="N49" i="5" s="1"/>
  <c r="O49" i="5" s="1"/>
  <c r="I49" i="5"/>
  <c r="D50" i="5"/>
  <c r="H49" i="5"/>
  <c r="J48" i="5"/>
  <c r="L48" i="5" s="1"/>
  <c r="M48" i="5" s="1"/>
  <c r="N48" i="5" s="1"/>
  <c r="O48" i="5" s="1"/>
  <c r="K49" i="4"/>
  <c r="G49" i="4"/>
  <c r="D50" i="4"/>
  <c r="I49" i="4"/>
  <c r="H49" i="4"/>
  <c r="J48" i="4"/>
  <c r="L48" i="4" s="1"/>
  <c r="M48" i="4" s="1"/>
  <c r="N48" i="4" s="1"/>
  <c r="O48" i="4" s="1"/>
  <c r="I50" i="5" l="1"/>
  <c r="D51" i="5"/>
  <c r="H50" i="5"/>
  <c r="K50" i="5"/>
  <c r="G50" i="5"/>
  <c r="J50" i="5" s="1"/>
  <c r="L50" i="5" s="1"/>
  <c r="M50" i="5" s="1"/>
  <c r="N50" i="5" s="1"/>
  <c r="O50" i="5" s="1"/>
  <c r="I50" i="4"/>
  <c r="G50" i="4"/>
  <c r="J50" i="4" s="1"/>
  <c r="L50" i="4" s="1"/>
  <c r="M50" i="4" s="1"/>
  <c r="N50" i="4" s="1"/>
  <c r="O50" i="4" s="1"/>
  <c r="D51" i="4"/>
  <c r="K50" i="4"/>
  <c r="H50" i="4"/>
  <c r="J49" i="4"/>
  <c r="L49" i="4" s="1"/>
  <c r="M49" i="4" s="1"/>
  <c r="N49" i="4" s="1"/>
  <c r="O49" i="4" s="1"/>
  <c r="K51" i="5" l="1"/>
  <c r="G51" i="5"/>
  <c r="I51" i="5"/>
  <c r="D52" i="5"/>
  <c r="H51" i="5"/>
  <c r="K51" i="4"/>
  <c r="G51" i="4"/>
  <c r="J51" i="4" s="1"/>
  <c r="L51" i="4" s="1"/>
  <c r="M51" i="4" s="1"/>
  <c r="N51" i="4" s="1"/>
  <c r="O51" i="4" s="1"/>
  <c r="H51" i="4"/>
  <c r="D52" i="4"/>
  <c r="I51" i="4"/>
  <c r="J51" i="5" l="1"/>
  <c r="L51" i="5" s="1"/>
  <c r="M51" i="5" s="1"/>
  <c r="N51" i="5" s="1"/>
  <c r="O51" i="5" s="1"/>
  <c r="I52" i="5"/>
  <c r="D53" i="5"/>
  <c r="H52" i="5"/>
  <c r="K52" i="5"/>
  <c r="G52" i="5"/>
  <c r="I52" i="4"/>
  <c r="H52" i="4"/>
  <c r="G52" i="4"/>
  <c r="J52" i="4" s="1"/>
  <c r="L52" i="4" s="1"/>
  <c r="M52" i="4" s="1"/>
  <c r="N52" i="4" s="1"/>
  <c r="O52" i="4" s="1"/>
  <c r="D53" i="4"/>
  <c r="K52" i="4"/>
  <c r="K53" i="5" l="1"/>
  <c r="G53" i="5"/>
  <c r="I53" i="5"/>
  <c r="H53" i="5"/>
  <c r="J52" i="5"/>
  <c r="L52" i="5" s="1"/>
  <c r="M52" i="5" s="1"/>
  <c r="N52" i="5" s="1"/>
  <c r="O52" i="5" s="1"/>
  <c r="K53" i="4"/>
  <c r="G53" i="4"/>
  <c r="J53" i="4" s="1"/>
  <c r="L53" i="4" s="1"/>
  <c r="M53" i="4" s="1"/>
  <c r="N53" i="4" s="1"/>
  <c r="O53" i="4" s="1"/>
  <c r="O9" i="4" s="1"/>
  <c r="I53" i="4"/>
  <c r="H53" i="4"/>
  <c r="J53" i="5" l="1"/>
  <c r="L53" i="5" s="1"/>
  <c r="M53" i="5" s="1"/>
  <c r="N53" i="5" s="1"/>
  <c r="O53" i="5" s="1"/>
  <c r="O9" i="5" s="1"/>
  <c r="N5" i="3" l="1"/>
  <c r="O5" i="3"/>
  <c r="P5" i="3"/>
  <c r="N6" i="3"/>
  <c r="T4" i="3" s="1"/>
  <c r="V4" i="3" s="1"/>
  <c r="O6" i="3"/>
  <c r="P6" i="3"/>
  <c r="N7" i="3"/>
  <c r="O7" i="3"/>
  <c r="P7" i="3"/>
  <c r="N8" i="3"/>
  <c r="O8" i="3"/>
  <c r="P8" i="3"/>
  <c r="N9" i="3"/>
  <c r="O9" i="3"/>
  <c r="P9" i="3"/>
  <c r="N10" i="3"/>
  <c r="O10" i="3"/>
  <c r="P10" i="3"/>
  <c r="N11" i="3"/>
  <c r="O11" i="3"/>
  <c r="P11" i="3"/>
  <c r="N12" i="3"/>
  <c r="O12" i="3"/>
  <c r="P12" i="3"/>
  <c r="N13" i="3"/>
  <c r="O13" i="3"/>
  <c r="P13" i="3"/>
  <c r="N14" i="3"/>
  <c r="O14" i="3"/>
  <c r="P14" i="3"/>
  <c r="N15" i="3"/>
  <c r="O15" i="3"/>
  <c r="P15" i="3"/>
  <c r="N16" i="3"/>
  <c r="O16" i="3"/>
  <c r="P16" i="3"/>
  <c r="N17" i="3"/>
  <c r="O17" i="3"/>
  <c r="P17" i="3"/>
  <c r="N18" i="3"/>
  <c r="O18" i="3"/>
  <c r="P18" i="3"/>
  <c r="N19" i="3"/>
  <c r="O19" i="3"/>
  <c r="P19" i="3"/>
  <c r="N20" i="3"/>
  <c r="O20" i="3"/>
  <c r="P20" i="3"/>
  <c r="N21" i="3"/>
  <c r="O21" i="3"/>
  <c r="P21" i="3"/>
  <c r="N22" i="3"/>
  <c r="O22" i="3"/>
  <c r="P22" i="3"/>
  <c r="N23" i="3"/>
  <c r="O23" i="3"/>
  <c r="P23" i="3"/>
  <c r="N24" i="3"/>
  <c r="O24" i="3"/>
  <c r="P24" i="3"/>
  <c r="N25" i="3"/>
  <c r="O25" i="3"/>
  <c r="P25" i="3"/>
  <c r="N26" i="3"/>
  <c r="O26" i="3"/>
  <c r="P26" i="3"/>
  <c r="N27" i="3"/>
  <c r="O27" i="3"/>
  <c r="P27" i="3"/>
  <c r="N28" i="3"/>
  <c r="O28" i="3"/>
  <c r="P28" i="3"/>
  <c r="N29" i="3"/>
  <c r="O29" i="3"/>
  <c r="P29" i="3"/>
  <c r="N30" i="3"/>
  <c r="O30" i="3"/>
  <c r="P30" i="3"/>
  <c r="N31" i="3"/>
  <c r="O31" i="3"/>
  <c r="P31" i="3"/>
  <c r="N32" i="3"/>
  <c r="O32" i="3"/>
  <c r="P32" i="3"/>
  <c r="N33" i="3"/>
  <c r="O33" i="3"/>
  <c r="P33" i="3"/>
  <c r="N34" i="3"/>
  <c r="O34" i="3"/>
  <c r="P34" i="3"/>
  <c r="N35" i="3"/>
  <c r="O35" i="3"/>
  <c r="P35" i="3"/>
  <c r="N36" i="3"/>
  <c r="O36" i="3"/>
  <c r="P36" i="3"/>
  <c r="N37" i="3"/>
  <c r="O37" i="3"/>
  <c r="P37" i="3"/>
  <c r="N38" i="3"/>
  <c r="O38" i="3"/>
  <c r="P38" i="3"/>
  <c r="N39" i="3"/>
  <c r="O39" i="3"/>
  <c r="P39" i="3"/>
  <c r="N40" i="3"/>
  <c r="O40" i="3"/>
  <c r="P40" i="3"/>
  <c r="N41" i="3"/>
  <c r="O41" i="3"/>
  <c r="P41" i="3"/>
  <c r="N42" i="3"/>
  <c r="O42" i="3"/>
  <c r="P42" i="3"/>
  <c r="N43" i="3"/>
  <c r="O43" i="3"/>
  <c r="P43" i="3"/>
  <c r="N44" i="3"/>
  <c r="O44" i="3"/>
  <c r="P44" i="3"/>
  <c r="N45" i="3"/>
  <c r="O45" i="3"/>
  <c r="P45" i="3"/>
  <c r="N46" i="3"/>
  <c r="O46" i="3"/>
  <c r="P46" i="3"/>
  <c r="N47" i="3"/>
  <c r="O47" i="3"/>
  <c r="P47" i="3"/>
  <c r="N48" i="3"/>
  <c r="O48" i="3"/>
  <c r="P48" i="3"/>
  <c r="N49" i="3"/>
  <c r="O49" i="3"/>
  <c r="P49" i="3"/>
  <c r="N50" i="3"/>
  <c r="O50" i="3"/>
  <c r="P50" i="3"/>
  <c r="N51" i="3"/>
  <c r="O51" i="3"/>
  <c r="P51" i="3"/>
  <c r="N52" i="3"/>
  <c r="O52" i="3"/>
  <c r="P52" i="3"/>
  <c r="N53" i="3"/>
  <c r="O53" i="3"/>
  <c r="P53" i="3"/>
  <c r="N54" i="3"/>
  <c r="O54" i="3"/>
  <c r="P54" i="3"/>
  <c r="N55" i="3"/>
  <c r="O55" i="3"/>
  <c r="P55" i="3"/>
  <c r="N56" i="3"/>
  <c r="O56" i="3"/>
  <c r="P56" i="3"/>
  <c r="N57" i="3"/>
  <c r="O57" i="3"/>
  <c r="P57" i="3"/>
  <c r="N58" i="3"/>
  <c r="O58" i="3"/>
  <c r="P58" i="3"/>
  <c r="N59" i="3"/>
  <c r="O59" i="3"/>
  <c r="P59" i="3"/>
  <c r="N60" i="3"/>
  <c r="O60" i="3"/>
  <c r="P60" i="3"/>
  <c r="N61" i="3"/>
  <c r="O61" i="3"/>
  <c r="P61" i="3"/>
  <c r="N62" i="3"/>
  <c r="O62" i="3"/>
  <c r="P62" i="3"/>
  <c r="N63" i="3"/>
  <c r="O63" i="3"/>
  <c r="P63" i="3"/>
  <c r="N64" i="3"/>
  <c r="O64" i="3"/>
  <c r="P64" i="3"/>
  <c r="N65" i="3"/>
  <c r="O65" i="3"/>
  <c r="P65" i="3"/>
  <c r="N66" i="3"/>
  <c r="O66" i="3"/>
  <c r="P66" i="3"/>
  <c r="N67" i="3"/>
  <c r="O67" i="3"/>
  <c r="P67" i="3"/>
  <c r="N68" i="3"/>
  <c r="O68" i="3"/>
  <c r="P68" i="3"/>
  <c r="N69" i="3"/>
  <c r="O69" i="3"/>
  <c r="P69" i="3"/>
  <c r="N70" i="3"/>
  <c r="O70" i="3"/>
  <c r="P70" i="3"/>
  <c r="N71" i="3"/>
  <c r="O71" i="3"/>
  <c r="P71" i="3"/>
  <c r="N72" i="3"/>
  <c r="O72" i="3"/>
  <c r="P72" i="3"/>
  <c r="N73" i="3"/>
  <c r="O73" i="3"/>
  <c r="P73" i="3"/>
  <c r="N74" i="3"/>
  <c r="O74" i="3"/>
  <c r="P74" i="3"/>
  <c r="N75" i="3"/>
  <c r="O75" i="3"/>
  <c r="P75" i="3"/>
  <c r="N76" i="3"/>
  <c r="O76" i="3"/>
  <c r="P76" i="3"/>
  <c r="N77" i="3"/>
  <c r="O77" i="3"/>
  <c r="P77" i="3"/>
  <c r="N78" i="3"/>
  <c r="O78" i="3"/>
  <c r="P78" i="3"/>
  <c r="N79" i="3"/>
  <c r="O79" i="3"/>
  <c r="P79" i="3"/>
  <c r="N80" i="3"/>
  <c r="O80" i="3"/>
  <c r="P80" i="3"/>
  <c r="N81" i="3"/>
  <c r="O81" i="3"/>
  <c r="P81" i="3"/>
  <c r="N82" i="3"/>
  <c r="O82" i="3"/>
  <c r="P82" i="3"/>
  <c r="N83" i="3"/>
  <c r="O83" i="3"/>
  <c r="P83" i="3"/>
  <c r="N84" i="3"/>
  <c r="O84" i="3"/>
  <c r="P84" i="3"/>
  <c r="N85" i="3"/>
  <c r="O85" i="3"/>
  <c r="P85" i="3"/>
  <c r="N86" i="3"/>
  <c r="O86" i="3"/>
  <c r="P86" i="3"/>
  <c r="N87" i="3"/>
  <c r="O87" i="3"/>
  <c r="P87" i="3"/>
  <c r="N88" i="3"/>
  <c r="O88" i="3"/>
  <c r="P88" i="3"/>
  <c r="N89" i="3"/>
  <c r="O89" i="3"/>
  <c r="P89" i="3"/>
  <c r="N90" i="3"/>
  <c r="O90" i="3"/>
  <c r="P90" i="3"/>
  <c r="N91" i="3"/>
  <c r="O91" i="3"/>
  <c r="P91" i="3"/>
  <c r="N92" i="3"/>
  <c r="O92" i="3"/>
  <c r="P92" i="3"/>
  <c r="N93" i="3"/>
  <c r="O93" i="3"/>
  <c r="P93" i="3"/>
  <c r="N94" i="3"/>
  <c r="O94" i="3"/>
  <c r="P94" i="3"/>
  <c r="N95" i="3"/>
  <c r="O95" i="3"/>
  <c r="P95" i="3"/>
  <c r="N96" i="3"/>
  <c r="O96" i="3"/>
  <c r="P96" i="3"/>
  <c r="N97" i="3"/>
  <c r="O97" i="3"/>
  <c r="P97" i="3"/>
  <c r="N98" i="3"/>
  <c r="O98" i="3"/>
  <c r="P98" i="3"/>
  <c r="N99" i="3"/>
  <c r="O99" i="3"/>
  <c r="P99" i="3"/>
  <c r="N100" i="3"/>
  <c r="O100" i="3"/>
  <c r="P100" i="3"/>
  <c r="N101" i="3"/>
  <c r="O101" i="3"/>
  <c r="P101" i="3"/>
  <c r="N102" i="3"/>
  <c r="O102" i="3"/>
  <c r="P102" i="3"/>
  <c r="N103" i="3"/>
  <c r="O103" i="3"/>
  <c r="P103" i="3"/>
  <c r="N104" i="3"/>
  <c r="O104" i="3"/>
  <c r="P104" i="3"/>
  <c r="N105" i="3"/>
  <c r="O105" i="3"/>
  <c r="P105" i="3"/>
  <c r="N106" i="3"/>
  <c r="O106" i="3"/>
  <c r="P106" i="3"/>
  <c r="N107" i="3"/>
  <c r="O107" i="3"/>
  <c r="P107" i="3"/>
  <c r="N108" i="3"/>
  <c r="O108" i="3"/>
  <c r="P108" i="3"/>
  <c r="N109" i="3"/>
  <c r="O109" i="3"/>
  <c r="P109" i="3"/>
  <c r="N110" i="3"/>
  <c r="O110" i="3"/>
  <c r="P110" i="3"/>
  <c r="N111" i="3"/>
  <c r="O111" i="3"/>
  <c r="P111" i="3"/>
  <c r="N112" i="3"/>
  <c r="O112" i="3"/>
  <c r="P112" i="3"/>
  <c r="N113" i="3"/>
  <c r="O113" i="3"/>
  <c r="P113" i="3"/>
  <c r="N114" i="3"/>
  <c r="O114" i="3"/>
  <c r="P114" i="3"/>
  <c r="N115" i="3"/>
  <c r="O115" i="3"/>
  <c r="P115" i="3"/>
  <c r="N116" i="3"/>
  <c r="O116" i="3"/>
  <c r="P116" i="3"/>
  <c r="N117" i="3"/>
  <c r="O117" i="3"/>
  <c r="P117" i="3"/>
  <c r="N118" i="3"/>
  <c r="O118" i="3"/>
  <c r="P118" i="3"/>
  <c r="N119" i="3"/>
  <c r="O119" i="3"/>
  <c r="P119" i="3"/>
  <c r="N120" i="3"/>
  <c r="O120" i="3"/>
  <c r="P120" i="3"/>
  <c r="N121" i="3"/>
  <c r="O121" i="3"/>
  <c r="P121" i="3"/>
  <c r="N122" i="3"/>
  <c r="O122" i="3"/>
  <c r="P122" i="3"/>
  <c r="N123" i="3"/>
  <c r="O123" i="3"/>
  <c r="P123" i="3"/>
  <c r="N124" i="3"/>
  <c r="O124" i="3"/>
  <c r="P124" i="3"/>
  <c r="N125" i="3"/>
  <c r="O125" i="3"/>
  <c r="P125" i="3"/>
  <c r="N126" i="3"/>
  <c r="O126" i="3"/>
  <c r="P126" i="3"/>
  <c r="N127" i="3"/>
  <c r="O127" i="3"/>
  <c r="P127" i="3"/>
  <c r="N128" i="3"/>
  <c r="O128" i="3"/>
  <c r="P128" i="3"/>
  <c r="N129" i="3"/>
  <c r="O129" i="3"/>
  <c r="P129" i="3"/>
  <c r="N130" i="3"/>
  <c r="O130" i="3"/>
  <c r="P130" i="3"/>
  <c r="N131" i="3"/>
  <c r="O131" i="3"/>
  <c r="P131" i="3"/>
  <c r="N132" i="3"/>
  <c r="O132" i="3"/>
  <c r="P132" i="3"/>
  <c r="N133" i="3"/>
  <c r="O133" i="3"/>
  <c r="P133" i="3"/>
  <c r="N134" i="3"/>
  <c r="O134" i="3"/>
  <c r="P134" i="3"/>
  <c r="N135" i="3"/>
  <c r="O135" i="3"/>
  <c r="P135" i="3"/>
  <c r="N136" i="3"/>
  <c r="O136" i="3"/>
  <c r="P136" i="3"/>
  <c r="N137" i="3"/>
  <c r="O137" i="3"/>
  <c r="P137" i="3"/>
  <c r="N138" i="3"/>
  <c r="O138" i="3"/>
  <c r="P138" i="3"/>
  <c r="N139" i="3"/>
  <c r="O139" i="3"/>
  <c r="P139" i="3"/>
  <c r="N140" i="3"/>
  <c r="O140" i="3"/>
  <c r="P140" i="3"/>
  <c r="N141" i="3"/>
  <c r="O141" i="3"/>
  <c r="P141" i="3"/>
  <c r="N142" i="3"/>
  <c r="O142" i="3"/>
  <c r="P142" i="3"/>
  <c r="N143" i="3"/>
  <c r="O143" i="3"/>
  <c r="P143" i="3"/>
  <c r="N144" i="3"/>
  <c r="O144" i="3"/>
  <c r="P144" i="3"/>
  <c r="N145" i="3"/>
  <c r="O145" i="3"/>
  <c r="P145" i="3"/>
  <c r="N146" i="3"/>
  <c r="O146" i="3"/>
  <c r="P146" i="3"/>
  <c r="N147" i="3"/>
  <c r="O147" i="3"/>
  <c r="P147" i="3"/>
  <c r="N148" i="3"/>
  <c r="O148" i="3"/>
  <c r="P148" i="3"/>
  <c r="N149" i="3"/>
  <c r="O149" i="3"/>
  <c r="P149" i="3"/>
  <c r="N150" i="3"/>
  <c r="O150" i="3"/>
  <c r="P150" i="3"/>
  <c r="N151" i="3"/>
  <c r="O151" i="3"/>
  <c r="P151" i="3"/>
  <c r="N152" i="3"/>
  <c r="O152" i="3"/>
  <c r="P152" i="3"/>
  <c r="N153" i="3"/>
  <c r="O153" i="3"/>
  <c r="P153" i="3"/>
  <c r="N154" i="3"/>
  <c r="O154" i="3"/>
  <c r="P154" i="3"/>
  <c r="P4" i="3"/>
  <c r="O4" i="3"/>
  <c r="N4" i="3"/>
  <c r="B4" i="3"/>
  <c r="A5" i="3"/>
  <c r="B5" i="3"/>
  <c r="A6" i="3"/>
  <c r="C4" i="3"/>
  <c r="T6" i="3" l="1"/>
  <c r="V6" i="3" s="1"/>
  <c r="T5" i="3"/>
  <c r="V5" i="3" s="1"/>
  <c r="B6" i="3"/>
  <c r="A7" i="3"/>
  <c r="C5" i="3"/>
  <c r="B7" i="3" l="1"/>
  <c r="A8" i="3"/>
  <c r="C6" i="3"/>
  <c r="B8" i="3" l="1"/>
  <c r="A9" i="3"/>
  <c r="C7" i="3"/>
  <c r="A10" i="3" l="1"/>
  <c r="B9" i="3"/>
  <c r="C8" i="3"/>
  <c r="B10" i="3" l="1"/>
  <c r="A11" i="3"/>
  <c r="C9" i="3"/>
  <c r="B11" i="3" l="1"/>
  <c r="A12" i="3"/>
  <c r="C10" i="3"/>
  <c r="B12" i="3" l="1"/>
  <c r="A13" i="3"/>
  <c r="C11" i="3"/>
  <c r="A14" i="3" l="1"/>
  <c r="B13" i="3"/>
  <c r="C12" i="3"/>
  <c r="B14" i="3" l="1"/>
  <c r="A15" i="3"/>
  <c r="C13" i="3"/>
  <c r="B15" i="3" l="1"/>
  <c r="A16" i="3"/>
  <c r="C14" i="3"/>
  <c r="B16" i="3" l="1"/>
  <c r="A17" i="3"/>
  <c r="C15" i="3"/>
  <c r="A18" i="3" l="1"/>
  <c r="B17" i="3"/>
  <c r="C16" i="3"/>
  <c r="B18" i="3" l="1"/>
  <c r="A19" i="3"/>
  <c r="C17" i="3"/>
  <c r="B19" i="3" l="1"/>
  <c r="A20" i="3"/>
  <c r="C18" i="3"/>
  <c r="B20" i="3" l="1"/>
  <c r="A21" i="3"/>
  <c r="C19" i="3"/>
  <c r="A22" i="3" l="1"/>
  <c r="B21" i="3"/>
  <c r="C20" i="3"/>
  <c r="B22" i="3" l="1"/>
  <c r="A23" i="3"/>
  <c r="C21" i="3"/>
  <c r="B23" i="3" l="1"/>
  <c r="A24" i="3"/>
  <c r="C22" i="3"/>
  <c r="B24" i="3" l="1"/>
  <c r="A25" i="3"/>
  <c r="C23" i="3"/>
  <c r="A26" i="3" l="1"/>
  <c r="B25" i="3"/>
  <c r="C24" i="3"/>
  <c r="B26" i="3" l="1"/>
  <c r="A27" i="3"/>
  <c r="C25" i="3"/>
  <c r="A28" i="3" l="1"/>
  <c r="B27" i="3"/>
  <c r="C26" i="3"/>
  <c r="B28" i="3" l="1"/>
  <c r="A29" i="3"/>
  <c r="C27" i="3"/>
  <c r="B29" i="3" l="1"/>
  <c r="A30" i="3"/>
  <c r="C28" i="3"/>
  <c r="B30" i="3" l="1"/>
  <c r="A31" i="3"/>
  <c r="C29" i="3"/>
  <c r="A32" i="3" l="1"/>
  <c r="B31" i="3"/>
  <c r="C30" i="3"/>
  <c r="B32" i="3" l="1"/>
  <c r="A33" i="3"/>
  <c r="C31" i="3"/>
  <c r="A34" i="3" l="1"/>
  <c r="B33" i="3"/>
  <c r="C32" i="3"/>
  <c r="B34" i="3" l="1"/>
  <c r="A35" i="3"/>
  <c r="C33" i="3"/>
  <c r="A36" i="3" l="1"/>
  <c r="B35" i="3"/>
  <c r="C34" i="3"/>
  <c r="B36" i="3" l="1"/>
  <c r="A37" i="3"/>
  <c r="C35" i="3"/>
  <c r="B37" i="3" l="1"/>
  <c r="A38" i="3"/>
  <c r="C36" i="3"/>
  <c r="B38" i="3" l="1"/>
  <c r="A39" i="3"/>
  <c r="C37" i="3"/>
  <c r="A40" i="3" l="1"/>
  <c r="B39" i="3"/>
  <c r="C38" i="3"/>
  <c r="B40" i="3" l="1"/>
  <c r="A41" i="3"/>
  <c r="C39" i="3"/>
  <c r="B41" i="3" l="1"/>
  <c r="A42" i="3"/>
  <c r="C40" i="3"/>
  <c r="B42" i="3" l="1"/>
  <c r="A43" i="3"/>
  <c r="C41" i="3"/>
  <c r="B43" i="3" l="1"/>
  <c r="A44" i="3"/>
  <c r="C42" i="3"/>
  <c r="B44" i="3" l="1"/>
  <c r="A45" i="3"/>
  <c r="C43" i="3"/>
  <c r="B45" i="3" l="1"/>
  <c r="A46" i="3"/>
  <c r="C44" i="3"/>
  <c r="B46" i="3" l="1"/>
  <c r="A47" i="3"/>
  <c r="C45" i="3"/>
  <c r="A48" i="3" l="1"/>
  <c r="B47" i="3"/>
  <c r="C46" i="3"/>
  <c r="B48" i="3" l="1"/>
  <c r="A49" i="3"/>
  <c r="C47" i="3"/>
  <c r="A50" i="3" l="1"/>
  <c r="B49" i="3"/>
  <c r="C48" i="3"/>
  <c r="B50" i="3" l="1"/>
  <c r="A51" i="3"/>
  <c r="C49" i="3"/>
  <c r="A52" i="3" l="1"/>
  <c r="B51" i="3"/>
  <c r="C50" i="3"/>
  <c r="B52" i="3" l="1"/>
  <c r="A53" i="3"/>
  <c r="C51" i="3"/>
  <c r="B53" i="3" l="1"/>
  <c r="A54" i="3"/>
  <c r="C52" i="3"/>
  <c r="B54" i="3" l="1"/>
  <c r="A55" i="3"/>
  <c r="C53" i="3"/>
  <c r="A56" i="3" l="1"/>
  <c r="B55" i="3"/>
  <c r="C54" i="3"/>
  <c r="B56" i="3" l="1"/>
  <c r="A57" i="3"/>
  <c r="C55" i="3"/>
  <c r="B57" i="3" l="1"/>
  <c r="A58" i="3"/>
  <c r="C56" i="3"/>
  <c r="B58" i="3" l="1"/>
  <c r="A59" i="3"/>
  <c r="C57" i="3"/>
  <c r="B59" i="3" l="1"/>
  <c r="A60" i="3"/>
  <c r="C58" i="3"/>
  <c r="B60" i="3" l="1"/>
  <c r="A61" i="3"/>
  <c r="C59" i="3"/>
  <c r="B61" i="3" l="1"/>
  <c r="A62" i="3"/>
  <c r="C60" i="3"/>
  <c r="B62" i="3" l="1"/>
  <c r="A63" i="3"/>
  <c r="C61" i="3"/>
  <c r="A64" i="3" l="1"/>
  <c r="B63" i="3"/>
  <c r="C62" i="3"/>
  <c r="B64" i="3" l="1"/>
  <c r="A65" i="3"/>
  <c r="C63" i="3"/>
  <c r="A66" i="3" l="1"/>
  <c r="B65" i="3"/>
  <c r="C64" i="3"/>
  <c r="B66" i="3" l="1"/>
  <c r="A67" i="3"/>
  <c r="C65" i="3"/>
  <c r="A68" i="3" l="1"/>
  <c r="B67" i="3"/>
  <c r="C66" i="3"/>
  <c r="B68" i="3" l="1"/>
  <c r="A69" i="3"/>
  <c r="C67" i="3"/>
  <c r="B69" i="3" l="1"/>
  <c r="A70" i="3"/>
  <c r="C68" i="3"/>
  <c r="B70" i="3" l="1"/>
  <c r="A71" i="3"/>
  <c r="C69" i="3"/>
  <c r="A72" i="3" l="1"/>
  <c r="B71" i="3"/>
  <c r="C70" i="3"/>
  <c r="B72" i="3" l="1"/>
  <c r="A73" i="3"/>
  <c r="C71" i="3"/>
  <c r="B73" i="3" l="1"/>
  <c r="A74" i="3"/>
  <c r="C72" i="3"/>
  <c r="B74" i="3" l="1"/>
  <c r="A75" i="3"/>
  <c r="C73" i="3"/>
  <c r="A76" i="3" l="1"/>
  <c r="B75" i="3"/>
  <c r="C74" i="3"/>
  <c r="B76" i="3" l="1"/>
  <c r="A77" i="3"/>
  <c r="C75" i="3"/>
  <c r="B77" i="3" l="1"/>
  <c r="A78" i="3"/>
  <c r="C76" i="3"/>
  <c r="B78" i="3" l="1"/>
  <c r="A79" i="3"/>
  <c r="C77" i="3"/>
  <c r="A80" i="3" l="1"/>
  <c r="B79" i="3"/>
  <c r="C78" i="3"/>
  <c r="B80" i="3" l="1"/>
  <c r="A81" i="3"/>
  <c r="C79" i="3"/>
  <c r="B81" i="3" l="1"/>
  <c r="A82" i="3"/>
  <c r="C80" i="3"/>
  <c r="B82" i="3" l="1"/>
  <c r="A83" i="3"/>
  <c r="C81" i="3"/>
  <c r="B83" i="3" l="1"/>
  <c r="A84" i="3"/>
  <c r="C82" i="3"/>
  <c r="B84" i="3" l="1"/>
  <c r="A85" i="3"/>
  <c r="C83" i="3"/>
  <c r="B85" i="3" l="1"/>
  <c r="A86" i="3"/>
  <c r="C84" i="3"/>
  <c r="B86" i="3" l="1"/>
  <c r="A87" i="3"/>
  <c r="C85" i="3"/>
  <c r="A88" i="3" l="1"/>
  <c r="B87" i="3"/>
  <c r="C86" i="3"/>
  <c r="B88" i="3" l="1"/>
  <c r="A89" i="3"/>
  <c r="C87" i="3"/>
  <c r="B89" i="3" l="1"/>
  <c r="A90" i="3"/>
  <c r="C88" i="3"/>
  <c r="B90" i="3" l="1"/>
  <c r="A91" i="3"/>
  <c r="C89" i="3"/>
  <c r="A92" i="3" l="1"/>
  <c r="B91" i="3"/>
  <c r="C90" i="3"/>
  <c r="B92" i="3" l="1"/>
  <c r="A93" i="3"/>
  <c r="C91" i="3"/>
  <c r="B93" i="3" l="1"/>
  <c r="A94" i="3"/>
  <c r="C92" i="3"/>
  <c r="B94" i="3" l="1"/>
  <c r="A95" i="3"/>
  <c r="C93" i="3"/>
  <c r="A96" i="3" l="1"/>
  <c r="B95" i="3"/>
  <c r="C94" i="3"/>
  <c r="B96" i="3" l="1"/>
  <c r="A97" i="3"/>
  <c r="C95" i="3"/>
  <c r="B97" i="3" l="1"/>
  <c r="A98" i="3"/>
  <c r="C96" i="3"/>
  <c r="B98" i="3" l="1"/>
  <c r="A99" i="3"/>
  <c r="C97" i="3"/>
  <c r="A100" i="3" l="1"/>
  <c r="B99" i="3"/>
  <c r="C98" i="3"/>
  <c r="B100" i="3" l="1"/>
  <c r="A101" i="3"/>
  <c r="C99" i="3"/>
  <c r="B101" i="3" l="1"/>
  <c r="A102" i="3"/>
  <c r="C100" i="3"/>
  <c r="B102" i="3" l="1"/>
  <c r="A103" i="3"/>
  <c r="C101" i="3"/>
  <c r="A104" i="3" l="1"/>
  <c r="B103" i="3"/>
  <c r="C102" i="3"/>
  <c r="B104" i="3" l="1"/>
  <c r="A105" i="3"/>
  <c r="C103" i="3"/>
  <c r="B105" i="3" l="1"/>
  <c r="A106" i="3"/>
  <c r="C104" i="3"/>
  <c r="B106" i="3" l="1"/>
  <c r="A107" i="3"/>
  <c r="C105" i="3"/>
  <c r="A108" i="3" l="1"/>
  <c r="B107" i="3"/>
  <c r="C106" i="3"/>
  <c r="B108" i="3" l="1"/>
  <c r="A109" i="3"/>
  <c r="C107" i="3"/>
  <c r="B109" i="3" l="1"/>
  <c r="A110" i="3"/>
  <c r="C108" i="3"/>
  <c r="B110" i="3" l="1"/>
  <c r="A111" i="3"/>
  <c r="C109" i="3"/>
  <c r="A112" i="3" l="1"/>
  <c r="B111" i="3"/>
  <c r="C110" i="3"/>
  <c r="B112" i="3" l="1"/>
  <c r="A113" i="3"/>
  <c r="C111" i="3"/>
  <c r="B113" i="3" l="1"/>
  <c r="A114" i="3"/>
  <c r="C112" i="3"/>
  <c r="B114" i="3" l="1"/>
  <c r="A115" i="3"/>
  <c r="C113" i="3"/>
  <c r="B115" i="3" l="1"/>
  <c r="A116" i="3"/>
  <c r="C114" i="3"/>
  <c r="B116" i="3" l="1"/>
  <c r="A117" i="3"/>
  <c r="C115" i="3"/>
  <c r="B117" i="3" l="1"/>
  <c r="A118" i="3"/>
  <c r="C116" i="3"/>
  <c r="B118" i="3" l="1"/>
  <c r="A119" i="3"/>
  <c r="C117" i="3"/>
  <c r="A120" i="3" l="1"/>
  <c r="B119" i="3"/>
  <c r="C118" i="3"/>
  <c r="B120" i="3" l="1"/>
  <c r="A121" i="3"/>
  <c r="C119" i="3"/>
  <c r="B121" i="3" l="1"/>
  <c r="A122" i="3"/>
  <c r="C120" i="3"/>
  <c r="B122" i="3" l="1"/>
  <c r="A123" i="3"/>
  <c r="C121" i="3"/>
  <c r="B123" i="3" l="1"/>
  <c r="A124" i="3"/>
  <c r="C122" i="3"/>
  <c r="B124" i="3" l="1"/>
  <c r="A125" i="3"/>
  <c r="C123" i="3"/>
  <c r="B125" i="3" l="1"/>
  <c r="A126" i="3"/>
  <c r="C124" i="3"/>
  <c r="B126" i="3" l="1"/>
  <c r="A127" i="3"/>
  <c r="C125" i="3"/>
  <c r="A128" i="3" l="1"/>
  <c r="B127" i="3"/>
  <c r="C126" i="3"/>
  <c r="B128" i="3" l="1"/>
  <c r="A129" i="3"/>
  <c r="C127" i="3"/>
  <c r="B129" i="3" l="1"/>
  <c r="A130" i="3"/>
  <c r="C128" i="3"/>
  <c r="B130" i="3" l="1"/>
  <c r="A131" i="3"/>
  <c r="C129" i="3"/>
  <c r="B131" i="3" l="1"/>
  <c r="A132" i="3"/>
  <c r="C130" i="3"/>
  <c r="B132" i="3" l="1"/>
  <c r="A133" i="3"/>
  <c r="C131" i="3"/>
  <c r="B133" i="3" l="1"/>
  <c r="A134" i="3"/>
  <c r="C132" i="3"/>
  <c r="B134" i="3" l="1"/>
  <c r="A135" i="3"/>
  <c r="C133" i="3"/>
  <c r="A136" i="3" l="1"/>
  <c r="B135" i="3"/>
  <c r="C134" i="3"/>
  <c r="B136" i="3" l="1"/>
  <c r="A137" i="3"/>
  <c r="C135" i="3"/>
  <c r="B137" i="3" l="1"/>
  <c r="A138" i="3"/>
  <c r="C136" i="3"/>
  <c r="B138" i="3" l="1"/>
  <c r="A139" i="3"/>
  <c r="C137" i="3"/>
  <c r="B139" i="3" l="1"/>
  <c r="A140" i="3"/>
  <c r="C138" i="3"/>
  <c r="B140" i="3" l="1"/>
  <c r="A141" i="3"/>
  <c r="C139" i="3"/>
  <c r="B141" i="3" l="1"/>
  <c r="A142" i="3"/>
  <c r="C140" i="3"/>
  <c r="B142" i="3" l="1"/>
  <c r="A143" i="3"/>
  <c r="C141" i="3"/>
  <c r="A144" i="3" l="1"/>
  <c r="B143" i="3"/>
  <c r="C142" i="3"/>
  <c r="B144" i="3" l="1"/>
  <c r="A145" i="3"/>
  <c r="C143" i="3"/>
  <c r="B145" i="3" l="1"/>
  <c r="A146" i="3"/>
  <c r="C144" i="3"/>
  <c r="B146" i="3" l="1"/>
  <c r="A147" i="3"/>
  <c r="C145" i="3"/>
  <c r="A148" i="3" l="1"/>
  <c r="B147" i="3"/>
  <c r="C146" i="3"/>
  <c r="B148" i="3" l="1"/>
  <c r="A149" i="3"/>
  <c r="C147" i="3"/>
  <c r="B149" i="3" l="1"/>
  <c r="A150" i="3"/>
  <c r="C148" i="3"/>
  <c r="B150" i="3" l="1"/>
  <c r="A151" i="3"/>
  <c r="C149" i="3"/>
  <c r="A152" i="3" l="1"/>
  <c r="B151" i="3"/>
  <c r="C150" i="3"/>
  <c r="B152" i="3" l="1"/>
  <c r="A153" i="3"/>
  <c r="C151" i="3"/>
  <c r="B153" i="3" l="1"/>
  <c r="A154" i="3"/>
  <c r="B154" i="3" s="1"/>
  <c r="C152" i="3"/>
  <c r="C153" i="3" l="1"/>
  <c r="C154" i="3" l="1"/>
  <c r="B11" i="2" l="1"/>
  <c r="B12" i="2" s="1"/>
  <c r="B13" i="2" s="1"/>
  <c r="F19" i="2"/>
  <c r="G19" i="2"/>
  <c r="J19" i="2" s="1"/>
  <c r="F20" i="2"/>
  <c r="F21" i="2" s="1"/>
  <c r="G20" i="2"/>
  <c r="J20" i="2" s="1"/>
  <c r="A10" i="2"/>
  <c r="A11" i="2" s="1"/>
  <c r="A12" i="2" s="1"/>
  <c r="A13" i="2" s="1"/>
  <c r="A14" i="2" s="1"/>
  <c r="A15" i="2" s="1"/>
  <c r="A16" i="2" s="1"/>
  <c r="A17" i="2" s="1"/>
  <c r="H11" i="2"/>
  <c r="H12" i="2" s="1"/>
  <c r="H13" i="2" s="1"/>
  <c r="F10" i="2"/>
  <c r="F11" i="2" s="1"/>
  <c r="C10" i="2"/>
  <c r="D10" i="2" s="1"/>
  <c r="G9" i="2"/>
  <c r="J9" i="2" s="1"/>
  <c r="C9" i="2"/>
  <c r="D9" i="2" s="1"/>
  <c r="B5" i="2"/>
  <c r="I10" i="2" s="1"/>
  <c r="X9" i="1"/>
  <c r="X10" i="1"/>
  <c r="X11" i="1"/>
  <c r="X12" i="1"/>
  <c r="X13" i="1"/>
  <c r="X14" i="1"/>
  <c r="X15" i="1"/>
  <c r="X16" i="1"/>
  <c r="X17" i="1"/>
  <c r="X8" i="1"/>
  <c r="V11" i="1"/>
  <c r="V12" i="1" s="1"/>
  <c r="V13" i="1" s="1"/>
  <c r="V14" i="1" s="1"/>
  <c r="V15" i="1" s="1"/>
  <c r="V16" i="1" s="1"/>
  <c r="V17" i="1" s="1"/>
  <c r="V10" i="1"/>
  <c r="Q9" i="1"/>
  <c r="Q10" i="1"/>
  <c r="Q11" i="1"/>
  <c r="Q12" i="1"/>
  <c r="Q13" i="1"/>
  <c r="Q14" i="1"/>
  <c r="Q15" i="1"/>
  <c r="Q16" i="1"/>
  <c r="Q17" i="1"/>
  <c r="Q18" i="1"/>
  <c r="Q19" i="1"/>
  <c r="Q20" i="1"/>
  <c r="Q8" i="1"/>
  <c r="R8" i="1" s="1"/>
  <c r="T10" i="1"/>
  <c r="T11" i="1" s="1"/>
  <c r="P10" i="1"/>
  <c r="P11" i="1" s="1"/>
  <c r="U9" i="1"/>
  <c r="T9" i="1"/>
  <c r="O9" i="1"/>
  <c r="R9" i="1" s="1"/>
  <c r="U8" i="1"/>
  <c r="P4" i="1"/>
  <c r="W11" i="1" s="1"/>
  <c r="J8" i="1"/>
  <c r="H11" i="1"/>
  <c r="H12" i="1" s="1"/>
  <c r="H13" i="1" s="1"/>
  <c r="H14" i="1" s="1"/>
  <c r="H15" i="1" s="1"/>
  <c r="H16" i="1" s="1"/>
  <c r="H17" i="1" s="1"/>
  <c r="I17" i="1" s="1"/>
  <c r="H10" i="1"/>
  <c r="F9" i="1"/>
  <c r="G9" i="1" s="1"/>
  <c r="J9" i="1" s="1"/>
  <c r="G8" i="1"/>
  <c r="C10" i="1"/>
  <c r="D10" i="1"/>
  <c r="C12" i="1"/>
  <c r="D12" i="1"/>
  <c r="C14" i="1"/>
  <c r="D14" i="1"/>
  <c r="C16" i="1"/>
  <c r="D16" i="1"/>
  <c r="C18" i="1"/>
  <c r="D18" i="1"/>
  <c r="C20" i="1"/>
  <c r="D20" i="1"/>
  <c r="C8" i="1"/>
  <c r="D8" i="1" s="1"/>
  <c r="B4" i="1"/>
  <c r="I10" i="1" s="1"/>
  <c r="B10" i="1"/>
  <c r="B11" i="1" s="1"/>
  <c r="B12" i="1" s="1"/>
  <c r="B13" i="1" s="1"/>
  <c r="B14" i="1" s="1"/>
  <c r="B15" i="1" s="1"/>
  <c r="B16" i="1" s="1"/>
  <c r="B17" i="1" s="1"/>
  <c r="B18" i="1" s="1"/>
  <c r="B19" i="1" s="1"/>
  <c r="B20" i="1" s="1"/>
  <c r="A9" i="1"/>
  <c r="A10" i="1" s="1"/>
  <c r="A11" i="1" s="1"/>
  <c r="A12" i="1" s="1"/>
  <c r="A13" i="1" s="1"/>
  <c r="A14" i="1" s="1"/>
  <c r="A15" i="1" s="1"/>
  <c r="A16" i="1" s="1"/>
  <c r="A17" i="1" s="1"/>
  <c r="A18" i="1" s="1"/>
  <c r="A20" i="1" s="1"/>
  <c r="G21" i="2" l="1"/>
  <c r="J21" i="2" s="1"/>
  <c r="F22" i="2"/>
  <c r="G22" i="2" s="1"/>
  <c r="J22" i="2" s="1"/>
  <c r="I11" i="2"/>
  <c r="F12" i="2"/>
  <c r="G11" i="2"/>
  <c r="J11" i="2" s="1"/>
  <c r="B14" i="2"/>
  <c r="I13" i="2"/>
  <c r="H14" i="2"/>
  <c r="G10" i="2"/>
  <c r="J10" i="2" s="1"/>
  <c r="K10" i="2" s="1"/>
  <c r="I9" i="2"/>
  <c r="K9" i="2" s="1"/>
  <c r="I12" i="2"/>
  <c r="W8" i="1"/>
  <c r="W10" i="1"/>
  <c r="Y10" i="1" s="1"/>
  <c r="W17" i="1"/>
  <c r="W9" i="1"/>
  <c r="Y9" i="1" s="1"/>
  <c r="W14" i="1"/>
  <c r="W13" i="1"/>
  <c r="W16" i="1"/>
  <c r="W12" i="1"/>
  <c r="W15" i="1"/>
  <c r="U11" i="1"/>
  <c r="Y11" i="1" s="1"/>
  <c r="T12" i="1"/>
  <c r="P12" i="1"/>
  <c r="Y8" i="1"/>
  <c r="U10" i="1"/>
  <c r="O10" i="1"/>
  <c r="I15" i="1"/>
  <c r="I11" i="1"/>
  <c r="I14" i="1"/>
  <c r="I9" i="1"/>
  <c r="K9" i="1" s="1"/>
  <c r="K8" i="1"/>
  <c r="F10" i="1"/>
  <c r="F11" i="1" s="1"/>
  <c r="I8" i="1"/>
  <c r="C9" i="1"/>
  <c r="D9" i="1" s="1"/>
  <c r="D24" i="1" s="1"/>
  <c r="I13" i="1"/>
  <c r="C19" i="1"/>
  <c r="D19" i="1" s="1"/>
  <c r="C17" i="1"/>
  <c r="D17" i="1" s="1"/>
  <c r="C15" i="1"/>
  <c r="D15" i="1" s="1"/>
  <c r="C13" i="1"/>
  <c r="D13" i="1" s="1"/>
  <c r="C11" i="1"/>
  <c r="D11" i="1" s="1"/>
  <c r="I16" i="1"/>
  <c r="I12" i="1"/>
  <c r="G11" i="1"/>
  <c r="J11" i="1" s="1"/>
  <c r="F12" i="1"/>
  <c r="G10" i="1"/>
  <c r="J10" i="1" s="1"/>
  <c r="K10" i="1" s="1"/>
  <c r="K11" i="2" l="1"/>
  <c r="C11" i="2"/>
  <c r="D11" i="2" s="1"/>
  <c r="F13" i="2"/>
  <c r="G12" i="2"/>
  <c r="J12" i="2" s="1"/>
  <c r="K12" i="2" s="1"/>
  <c r="H15" i="2"/>
  <c r="H16" i="2" s="1"/>
  <c r="H17" i="2" s="1"/>
  <c r="H18" i="2" s="1"/>
  <c r="H19" i="2" s="1"/>
  <c r="H20" i="2" s="1"/>
  <c r="H21" i="2" s="1"/>
  <c r="H22" i="2" s="1"/>
  <c r="I14" i="2"/>
  <c r="B15" i="2"/>
  <c r="O11" i="1"/>
  <c r="R10" i="1"/>
  <c r="Y12" i="1"/>
  <c r="T13" i="1"/>
  <c r="U12" i="1"/>
  <c r="P13" i="1"/>
  <c r="K12" i="1"/>
  <c r="K11" i="1"/>
  <c r="F13" i="1"/>
  <c r="G12" i="1"/>
  <c r="J12" i="1" s="1"/>
  <c r="I15" i="2" l="1"/>
  <c r="C12" i="2"/>
  <c r="D12" i="2" s="1"/>
  <c r="B16" i="2"/>
  <c r="F14" i="2"/>
  <c r="G13" i="2"/>
  <c r="J13" i="2" s="1"/>
  <c r="K13" i="2" s="1"/>
  <c r="P14" i="1"/>
  <c r="U13" i="1"/>
  <c r="T14" i="1"/>
  <c r="O12" i="1"/>
  <c r="R11" i="1"/>
  <c r="G13" i="1"/>
  <c r="J13" i="1" s="1"/>
  <c r="K13" i="1" s="1"/>
  <c r="F14" i="1"/>
  <c r="B17" i="2" l="1"/>
  <c r="I16" i="2"/>
  <c r="G14" i="2"/>
  <c r="J14" i="2" s="1"/>
  <c r="K14" i="2" s="1"/>
  <c r="F15" i="2"/>
  <c r="C13" i="2"/>
  <c r="D13" i="2" s="1"/>
  <c r="O13" i="1"/>
  <c r="R12" i="1"/>
  <c r="P15" i="1"/>
  <c r="U14" i="1"/>
  <c r="T15" i="1"/>
  <c r="Y14" i="1"/>
  <c r="Y13" i="1"/>
  <c r="F15" i="1"/>
  <c r="G14" i="1"/>
  <c r="J14" i="1" s="1"/>
  <c r="K14" i="1" s="1"/>
  <c r="F16" i="2" l="1"/>
  <c r="G15" i="2"/>
  <c r="J15" i="2" s="1"/>
  <c r="K15" i="2" s="1"/>
  <c r="C14" i="2"/>
  <c r="D14" i="2" s="1"/>
  <c r="I17" i="2"/>
  <c r="P16" i="1"/>
  <c r="U15" i="1"/>
  <c r="T16" i="1"/>
  <c r="R13" i="1"/>
  <c r="O14" i="1"/>
  <c r="G15" i="1"/>
  <c r="J15" i="1" s="1"/>
  <c r="K15" i="1" s="1"/>
  <c r="F16" i="1"/>
  <c r="I18" i="2" l="1"/>
  <c r="F17" i="2"/>
  <c r="G16" i="2"/>
  <c r="J16" i="2" s="1"/>
  <c r="K16" i="2" s="1"/>
  <c r="C15" i="2"/>
  <c r="D15" i="2" s="1"/>
  <c r="O15" i="1"/>
  <c r="R14" i="1"/>
  <c r="P17" i="1"/>
  <c r="U16" i="1"/>
  <c r="T17" i="1"/>
  <c r="Y16" i="1"/>
  <c r="Y15" i="1"/>
  <c r="F17" i="1"/>
  <c r="G16" i="1"/>
  <c r="J16" i="1" s="1"/>
  <c r="K16" i="1" s="1"/>
  <c r="I19" i="2" l="1"/>
  <c r="K19" i="2" s="1"/>
  <c r="F18" i="2"/>
  <c r="G17" i="2"/>
  <c r="J17" i="2" s="1"/>
  <c r="K17" i="2" s="1"/>
  <c r="C16" i="2"/>
  <c r="D16" i="2" s="1"/>
  <c r="U17" i="1"/>
  <c r="Y17" i="1" s="1"/>
  <c r="AA17" i="1"/>
  <c r="P18" i="1"/>
  <c r="O16" i="1"/>
  <c r="R15" i="1"/>
  <c r="G17" i="1"/>
  <c r="J17" i="1" s="1"/>
  <c r="K17" i="1" s="1"/>
  <c r="M17" i="1"/>
  <c r="I20" i="2" l="1"/>
  <c r="K20" i="2" s="1"/>
  <c r="C17" i="2"/>
  <c r="D17" i="2" s="1"/>
  <c r="M22" i="2"/>
  <c r="G18" i="2"/>
  <c r="J18" i="2" s="1"/>
  <c r="K18" i="2" s="1"/>
  <c r="P19" i="1"/>
  <c r="AA24" i="1"/>
  <c r="O17" i="1"/>
  <c r="R16" i="1"/>
  <c r="M24" i="1"/>
  <c r="D26" i="1" s="1"/>
  <c r="I22" i="2" l="1"/>
  <c r="K22" i="2" s="1"/>
  <c r="I21" i="2"/>
  <c r="K21" i="2" s="1"/>
  <c r="M24" i="2"/>
  <c r="O18" i="1"/>
  <c r="R17" i="1"/>
  <c r="P20" i="1"/>
  <c r="R18" i="1" l="1"/>
  <c r="O19" i="1"/>
  <c r="R19" i="1" l="1"/>
  <c r="O20" i="1"/>
  <c r="R20" i="1" s="1"/>
  <c r="R24" i="1" s="1"/>
  <c r="R26" i="1" s="1"/>
  <c r="D24" i="2" l="1"/>
  <c r="D26"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tanya mehta</author>
    <author>AEG User</author>
  </authors>
  <commentList>
    <comment ref="P1" authorId="0" shapeId="0" xr:uid="{2328F378-0B81-4CE7-B1D5-A428D2B8A8A9}">
      <text>
        <r>
          <rPr>
            <b/>
            <sz val="9"/>
            <color indexed="81"/>
            <rFont val="Tahoma"/>
            <charset val="1"/>
          </rPr>
          <t xml:space="preserve">You can set any value at the beginning
</t>
        </r>
      </text>
    </comment>
    <comment ref="B7" authorId="1" shapeId="0" xr:uid="{5375BCDF-FF31-4399-BAE4-77B0A0EAFA3D}">
      <text>
        <r>
          <rPr>
            <sz val="10"/>
            <color indexed="81"/>
            <rFont val="Calibri"/>
            <family val="2"/>
            <scheme val="minor"/>
          </rPr>
          <t>The outgo is 20,000 initially (</t>
        </r>
        <r>
          <rPr>
            <i/>
            <sz val="10"/>
            <color indexed="81"/>
            <rFont val="Calibri"/>
            <family val="2"/>
            <scheme val="minor"/>
          </rPr>
          <t>ie</t>
        </r>
        <r>
          <rPr>
            <sz val="10"/>
            <color indexed="81"/>
            <rFont val="Calibri"/>
            <family val="2"/>
            <scheme val="minor"/>
          </rPr>
          <t xml:space="preserve"> at time 0) followed by 3,000 at the end of each month for 1 year.</t>
        </r>
      </text>
    </comment>
    <comment ref="H7" authorId="1" shapeId="0" xr:uid="{B5051396-F37B-4798-8D7A-64934864C752}">
      <text>
        <r>
          <rPr>
            <sz val="10"/>
            <color indexed="81"/>
            <rFont val="Calibri"/>
            <family val="2"/>
            <scheme val="minor"/>
          </rPr>
          <t>No income is received in Year 1 of the project.  Net income of 9,000 is received in Year 2.  Thereafter, the rate of net income in each year is 4% higher than the previous year.</t>
        </r>
      </text>
    </comment>
    <comment ref="I7" authorId="1" shapeId="0" xr:uid="{B7C20F97-91AD-4F89-8900-21FB4B90CD15}">
      <text>
        <r>
          <rPr>
            <sz val="10"/>
            <color indexed="81"/>
            <rFont val="Calibri"/>
            <family val="2"/>
            <scheme val="minor"/>
          </rPr>
          <t>This is calculated by multiplying the annual rate of income by the 1-year continuous annuity factor.</t>
        </r>
      </text>
    </comment>
    <comment ref="L7" authorId="1" shapeId="0" xr:uid="{280808AA-6F13-4DC4-B75C-96A11937716A}">
      <text>
        <r>
          <rPr>
            <sz val="10"/>
            <color indexed="81"/>
            <rFont val="Calibri"/>
            <family val="2"/>
            <scheme val="minor"/>
          </rPr>
          <t>The van is sold for 25,000 ten years after it is purchased (</t>
        </r>
        <r>
          <rPr>
            <i/>
            <sz val="10"/>
            <color indexed="81"/>
            <rFont val="Calibri"/>
            <family val="2"/>
            <scheme val="minor"/>
          </rPr>
          <t>ie</t>
        </r>
        <r>
          <rPr>
            <sz val="10"/>
            <color indexed="81"/>
            <rFont val="Calibri"/>
            <family val="2"/>
            <scheme val="minor"/>
          </rPr>
          <t xml:space="preserve"> at time 10).  The present value of the sale proceeds is then calculated by multiplying 25,000 by v^10.</t>
        </r>
      </text>
    </comment>
    <comment ref="P7" authorId="1" shapeId="0" xr:uid="{C485D62D-ADE2-412A-95DE-6C9EDBDBF0E8}">
      <text>
        <r>
          <rPr>
            <sz val="10"/>
            <color indexed="81"/>
            <rFont val="Calibri"/>
            <family val="2"/>
            <scheme val="minor"/>
          </rPr>
          <t>The outgo is 20,000 initially (</t>
        </r>
        <r>
          <rPr>
            <i/>
            <sz val="10"/>
            <color indexed="81"/>
            <rFont val="Calibri"/>
            <family val="2"/>
            <scheme val="minor"/>
          </rPr>
          <t>ie</t>
        </r>
        <r>
          <rPr>
            <sz val="10"/>
            <color indexed="81"/>
            <rFont val="Calibri"/>
            <family val="2"/>
            <scheme val="minor"/>
          </rPr>
          <t xml:space="preserve"> at time 0) followed by 3,000 at the end of each month for 1 year.</t>
        </r>
      </text>
    </comment>
    <comment ref="V7" authorId="1" shapeId="0" xr:uid="{367333C6-F912-45A7-BA73-4C36583083C4}">
      <text>
        <r>
          <rPr>
            <sz val="10"/>
            <color indexed="81"/>
            <rFont val="Calibri"/>
            <family val="2"/>
            <scheme val="minor"/>
          </rPr>
          <t>No income is received in Year 1 of the project.  Net income of 9,000 is received in Year 2.  Thereafter, the rate of net income in each year is 4% higher than the previous year.</t>
        </r>
      </text>
    </comment>
    <comment ref="W7" authorId="1" shapeId="0" xr:uid="{C0574F48-07A0-4610-8546-C5375226DA56}">
      <text>
        <r>
          <rPr>
            <sz val="10"/>
            <color indexed="81"/>
            <rFont val="Calibri"/>
            <family val="2"/>
            <scheme val="minor"/>
          </rPr>
          <t>This is calculated by multiplying the annual rate of income by the 1-year continuous annuity factor.</t>
        </r>
      </text>
    </comment>
    <comment ref="Z7" authorId="1" shapeId="0" xr:uid="{F8DBD234-710D-427A-ADA6-541BFA9E7C1E}">
      <text>
        <r>
          <rPr>
            <sz val="10"/>
            <color indexed="81"/>
            <rFont val="Calibri"/>
            <family val="2"/>
            <scheme val="minor"/>
          </rPr>
          <t>The van is sold for 25,000 ten years after it is purchased (</t>
        </r>
        <r>
          <rPr>
            <i/>
            <sz val="10"/>
            <color indexed="81"/>
            <rFont val="Calibri"/>
            <family val="2"/>
            <scheme val="minor"/>
          </rPr>
          <t>ie</t>
        </r>
        <r>
          <rPr>
            <sz val="10"/>
            <color indexed="81"/>
            <rFont val="Calibri"/>
            <family val="2"/>
            <scheme val="minor"/>
          </rPr>
          <t xml:space="preserve"> at time 10).  The present value of the sale proceeds is then calculated by multiplying 25,000 by v^10.</t>
        </r>
      </text>
    </comment>
    <comment ref="R26" authorId="0" shapeId="0" xr:uid="{B086AF85-FE67-4489-B788-3E417C6C6FBC}">
      <text>
        <r>
          <rPr>
            <b/>
            <sz val="9"/>
            <color indexed="81"/>
            <rFont val="Tahoma"/>
            <charset val="1"/>
          </rPr>
          <t xml:space="preserve">The internal rate of return can be found when the Net Present value is 0. Hence, we use the GoalSeek function - setting cell P1 as the changing cell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AEG User</author>
    <author>tanya mehta</author>
  </authors>
  <commentList>
    <comment ref="B8" authorId="0" shapeId="0" xr:uid="{58595EFD-839B-44D0-8916-DDD08EC257C5}">
      <text>
        <r>
          <rPr>
            <sz val="10"/>
            <color indexed="81"/>
            <rFont val="Calibri"/>
            <family val="2"/>
            <scheme val="minor"/>
          </rPr>
          <t>The outgo is 20,000 initially (</t>
        </r>
        <r>
          <rPr>
            <i/>
            <sz val="10"/>
            <color indexed="81"/>
            <rFont val="Calibri"/>
            <family val="2"/>
            <scheme val="minor"/>
          </rPr>
          <t>ie</t>
        </r>
        <r>
          <rPr>
            <sz val="10"/>
            <color indexed="81"/>
            <rFont val="Calibri"/>
            <family val="2"/>
            <scheme val="minor"/>
          </rPr>
          <t xml:space="preserve"> at time 0) followed by 3,000 at the end of each month for 1 year.</t>
        </r>
      </text>
    </comment>
    <comment ref="H8" authorId="0" shapeId="0" xr:uid="{D22ADAAB-FC69-4D41-A802-A8E37BFD2E32}">
      <text>
        <r>
          <rPr>
            <sz val="10"/>
            <color indexed="81"/>
            <rFont val="Calibri"/>
            <family val="2"/>
            <scheme val="minor"/>
          </rPr>
          <t>No income is received in Year 1 of the project.  Net income of 9,000 is received in Year 2.  Thereafter, the rate of net income in each year is 4% higher than the previous year.</t>
        </r>
      </text>
    </comment>
    <comment ref="I8" authorId="0" shapeId="0" xr:uid="{79E7BC30-2094-417E-A4E6-068D4FF5E636}">
      <text>
        <r>
          <rPr>
            <sz val="10"/>
            <color indexed="81"/>
            <rFont val="Calibri"/>
            <family val="2"/>
            <scheme val="minor"/>
          </rPr>
          <t>This is calculated by multiplying the annual rate of income by the 1-year continuous annuity factor.</t>
        </r>
      </text>
    </comment>
    <comment ref="L8" authorId="0" shapeId="0" xr:uid="{82279AB8-6C3A-4B1E-ADA3-9EA450AB265C}">
      <text>
        <r>
          <rPr>
            <sz val="10"/>
            <color indexed="81"/>
            <rFont val="Calibri"/>
            <family val="2"/>
            <scheme val="minor"/>
          </rPr>
          <t>The van is sold for 25,000 ten years after it is purchased (</t>
        </r>
        <r>
          <rPr>
            <i/>
            <sz val="10"/>
            <color indexed="81"/>
            <rFont val="Calibri"/>
            <family val="2"/>
            <scheme val="minor"/>
          </rPr>
          <t>ie</t>
        </r>
        <r>
          <rPr>
            <sz val="10"/>
            <color indexed="81"/>
            <rFont val="Calibri"/>
            <family val="2"/>
            <scheme val="minor"/>
          </rPr>
          <t xml:space="preserve"> at time 10).  The present value of the sale proceeds is then calculated by multiplying 25,000 by v^10.</t>
        </r>
      </text>
    </comment>
    <comment ref="H18" authorId="1" shapeId="0" xr:uid="{23D66996-A4A7-473C-8790-471FFC59B40B}">
      <text>
        <r>
          <rPr>
            <b/>
            <sz val="9"/>
            <color indexed="81"/>
            <rFont val="Tahoma"/>
            <charset val="1"/>
          </rPr>
          <t xml:space="preserve">After 8 years implies the start of the 9th year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AEG User</author>
  </authors>
  <commentList>
    <comment ref="B3" authorId="0" shapeId="0" xr:uid="{E32997F8-7065-428B-9EB4-E2C87156B835}">
      <text>
        <r>
          <rPr>
            <sz val="10"/>
            <color indexed="81"/>
            <rFont val="Calibri"/>
            <family val="2"/>
            <scheme val="minor"/>
          </rPr>
          <t>This gives the NPV for Project A at each interest rate given in column A.
Project A has outgo of 1m at time 0 and 0.4m at time 0.5, and income of 0.5m at times 2, 3, 4 and 5.</t>
        </r>
      </text>
    </comment>
    <comment ref="C3" authorId="0" shapeId="0" xr:uid="{78E1D458-A18E-4125-A233-4347D1EBB008}">
      <text>
        <r>
          <rPr>
            <sz val="10"/>
            <color indexed="81"/>
            <rFont val="Calibri"/>
            <family val="2"/>
            <scheme val="minor"/>
          </rPr>
          <t>This gives the NPV for Project B at each interest rate given in column A.
Project B has outgo of 0.8m at time 0, income of 0.2m at times 0.5, 1.5, 2.5, 3.5 and 4.5, and income of 0.1m at time 5.</t>
        </r>
      </text>
    </comment>
    <comment ref="N3" authorId="0" shapeId="0" xr:uid="{AE4E0109-822D-455E-831C-4DBD58C229FF}">
      <text>
        <r>
          <rPr>
            <sz val="10"/>
            <color indexed="81"/>
            <rFont val="Calibri"/>
            <family val="2"/>
            <scheme val="minor"/>
          </rPr>
          <t>The IRR for a project is the interest rate at which the NPV of the project's cashflows is equal to 0 (</t>
        </r>
        <r>
          <rPr>
            <i/>
            <sz val="10"/>
            <color indexed="81"/>
            <rFont val="Calibri"/>
            <family val="2"/>
            <scheme val="minor"/>
          </rPr>
          <t>ie</t>
        </r>
        <r>
          <rPr>
            <sz val="10"/>
            <color indexed="81"/>
            <rFont val="Calibri"/>
            <family val="2"/>
            <scheme val="minor"/>
          </rPr>
          <t xml:space="preserve"> the interest rate at which the NPV switches from positive to negative).
Columns N, O, and P use an IF function to indicate when different conditions are satisfied (where using "" returns an empty cell).  Cells T4, T5 and T6, then use the MAX function to identify the final interest rate for which each condition is satisfied, and this gives the start of the interval requested.
Note that it is not essential to automate this process.  The answers can be determined by looking down the columns of NPVs by eye.</t>
        </r>
      </text>
    </comment>
    <comment ref="V4" authorId="0" shapeId="0" xr:uid="{45932DF4-01AF-4DD3-ADDC-48E0D0C04561}">
      <text>
        <r>
          <rPr>
            <sz val="10"/>
            <color indexed="81"/>
            <rFont val="Calibri"/>
            <family val="2"/>
            <scheme val="minor"/>
          </rPr>
          <t>This column adds 0.001 to the value in column K to create an interval of width 0.1%.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AEG User</author>
  </authors>
  <commentList>
    <comment ref="B3" authorId="0" shapeId="0" xr:uid="{9789D149-87D8-47DA-AE6E-7C6DB09D850C}">
      <text>
        <r>
          <rPr>
            <sz val="10"/>
            <color indexed="81"/>
            <rFont val="Calibri"/>
            <family val="2"/>
            <scheme val="minor"/>
          </rPr>
          <t>The values of these inputs are taken from the question.  We have named these cells (using the names given in brackets).</t>
        </r>
      </text>
    </comment>
    <comment ref="D12" authorId="0" shapeId="0" xr:uid="{E7107463-AE62-4EDE-B9E0-990FE2CC85E4}">
      <text>
        <r>
          <rPr>
            <sz val="10"/>
            <color indexed="81"/>
            <rFont val="Calibri"/>
            <family val="2"/>
            <scheme val="minor"/>
          </rPr>
          <t>The majority of the cashflows in this question occur quarterly, so we need to record the time after each quarter of a year.
Since we do not know when the discounted payback period will fall, we have initially used an overall period of 10 years.  If this turned out not to be long enough, the calculations would need to be extended to further rows.</t>
        </r>
      </text>
    </comment>
    <comment ref="E12" authorId="0" shapeId="0" xr:uid="{62657325-B24E-4EC6-A52E-B362FA2EE172}">
      <text>
        <r>
          <rPr>
            <sz val="10"/>
            <color indexed="81"/>
            <rFont val="Calibri"/>
            <family val="2"/>
            <scheme val="minor"/>
          </rPr>
          <t xml:space="preserve">We are given the </t>
        </r>
        <r>
          <rPr>
            <i/>
            <sz val="10"/>
            <color indexed="81"/>
            <rFont val="Calibri"/>
            <family val="2"/>
            <scheme val="minor"/>
          </rPr>
          <t>quarterly</t>
        </r>
        <r>
          <rPr>
            <sz val="10"/>
            <color indexed="81"/>
            <rFont val="Calibri"/>
            <family val="2"/>
            <scheme val="minor"/>
          </rPr>
          <t xml:space="preserve"> cost of the course, and this is incurred quarterly in advance for 2 years (</t>
        </r>
        <r>
          <rPr>
            <i/>
            <sz val="10"/>
            <color indexed="81"/>
            <rFont val="Calibri"/>
            <family val="2"/>
            <scheme val="minor"/>
          </rPr>
          <t xml:space="preserve">ie </t>
        </r>
        <r>
          <rPr>
            <sz val="10"/>
            <color indexed="81"/>
            <rFont val="Calibri"/>
            <family val="2"/>
            <scheme val="minor"/>
          </rPr>
          <t>8 quarters).</t>
        </r>
        <r>
          <rPr>
            <sz val="9"/>
            <color indexed="81"/>
            <rFont val="Tahoma"/>
            <family val="2"/>
          </rPr>
          <t xml:space="preserve">
</t>
        </r>
      </text>
    </comment>
    <comment ref="F12" authorId="0" shapeId="0" xr:uid="{9CAC4B38-95D4-4829-9E23-CCF6BF863A75}">
      <text>
        <r>
          <rPr>
            <sz val="10"/>
            <color indexed="81"/>
            <rFont val="Calibri"/>
            <family val="2"/>
            <scheme val="minor"/>
          </rPr>
          <t xml:space="preserve">We are given the </t>
        </r>
        <r>
          <rPr>
            <i/>
            <sz val="10"/>
            <color indexed="81"/>
            <rFont val="Calibri"/>
            <family val="2"/>
            <scheme val="minor"/>
          </rPr>
          <t xml:space="preserve">annual </t>
        </r>
        <r>
          <rPr>
            <sz val="10"/>
            <color indexed="81"/>
            <rFont val="Calibri"/>
            <family val="2"/>
            <scheme val="minor"/>
          </rPr>
          <t>cost of lost productivity, and this is incurred quarterly in arrears for 2 years (</t>
        </r>
        <r>
          <rPr>
            <i/>
            <sz val="10"/>
            <color indexed="81"/>
            <rFont val="Calibri"/>
            <family val="2"/>
            <scheme val="minor"/>
          </rPr>
          <t>ie</t>
        </r>
        <r>
          <rPr>
            <sz val="10"/>
            <color indexed="81"/>
            <rFont val="Calibri"/>
            <family val="2"/>
            <scheme val="minor"/>
          </rPr>
          <t xml:space="preserve"> 8 quarters).</t>
        </r>
        <r>
          <rPr>
            <sz val="9"/>
            <color indexed="81"/>
            <rFont val="Tahoma"/>
            <family val="2"/>
          </rPr>
          <t xml:space="preserve">
</t>
        </r>
      </text>
    </comment>
    <comment ref="G12" authorId="0" shapeId="0" xr:uid="{9AE342E4-0185-4E8E-BAA8-8E36A4AFF579}">
      <text>
        <r>
          <rPr>
            <sz val="10"/>
            <color indexed="81"/>
            <rFont val="Calibri"/>
            <family val="2"/>
            <scheme val="minor"/>
          </rPr>
          <t xml:space="preserve">We are given the </t>
        </r>
        <r>
          <rPr>
            <i/>
            <sz val="10"/>
            <color indexed="81"/>
            <rFont val="Calibri"/>
            <family val="2"/>
            <scheme val="minor"/>
          </rPr>
          <t>annual</t>
        </r>
        <r>
          <rPr>
            <sz val="10"/>
            <color indexed="81"/>
            <rFont val="Calibri"/>
            <family val="2"/>
            <scheme val="minor"/>
          </rPr>
          <t xml:space="preserve"> additional revenue, and this is received quarterly in arrears after the training course is completed.  So the first such cashflow is at time 2.25 years.
The additional revenue increases by 4% each year.  The INT function is used to ensure that the correct number of increases is applied, </t>
        </r>
        <r>
          <rPr>
            <i/>
            <sz val="10"/>
            <color indexed="81"/>
            <rFont val="Calibri"/>
            <family val="2"/>
            <scheme val="minor"/>
          </rPr>
          <t>eg</t>
        </r>
        <r>
          <rPr>
            <sz val="10"/>
            <color indexed="81"/>
            <rFont val="Calibri"/>
            <family val="2"/>
            <scheme val="minor"/>
          </rPr>
          <t xml:space="preserve"> 1 increase for those payments made from time 3.25 to time 4.
The values in column H are calculated using the same approach, but with the cashflow amount and rate of increase changed accordingly.</t>
        </r>
      </text>
    </comment>
    <comment ref="I12" authorId="0" shapeId="0" xr:uid="{8A45E095-4396-4FEC-85CD-6DF73870F7F3}">
      <text>
        <r>
          <rPr>
            <sz val="10"/>
            <color indexed="81"/>
            <rFont val="Calibri"/>
            <family val="2"/>
            <scheme val="minor"/>
          </rPr>
          <t>The additional bonus is paid annually in arrears after the course is completed. So the first bonus is paid at time 3.
The IF function is used to ensure that the bonus is paid at integer times only, and the bonus is increased by 2% each year (so 1 increase is applied at time 4, 2 increases are applied at time 5 and so on).</t>
        </r>
        <r>
          <rPr>
            <sz val="9"/>
            <color indexed="81"/>
            <rFont val="Tahoma"/>
            <family val="2"/>
          </rPr>
          <t xml:space="preserve">
</t>
        </r>
      </text>
    </comment>
    <comment ref="J12" authorId="0" shapeId="0" xr:uid="{76FF7037-35A7-424C-9757-3A5DC4650CDB}">
      <text>
        <r>
          <rPr>
            <sz val="10"/>
            <color indexed="81"/>
            <rFont val="Calibri"/>
            <family val="2"/>
            <scheme val="minor"/>
          </rPr>
          <t>The net cashflow at each time is calculated as the additional revenue less the costs.</t>
        </r>
        <r>
          <rPr>
            <sz val="9"/>
            <color indexed="81"/>
            <rFont val="Tahoma"/>
            <family val="2"/>
          </rPr>
          <t xml:space="preserve">
</t>
        </r>
      </text>
    </comment>
    <comment ref="L12" authorId="0" shapeId="0" xr:uid="{72791590-740D-4AC5-929B-AB05B48D1AB0}">
      <text>
        <r>
          <rPr>
            <sz val="10"/>
            <color indexed="81"/>
            <rFont val="Calibri"/>
            <family val="2"/>
            <scheme val="minor"/>
          </rPr>
          <t>This is the net cashflow multiplied by the relevant discount factor.</t>
        </r>
        <r>
          <rPr>
            <sz val="9"/>
            <color indexed="81"/>
            <rFont val="Tahoma"/>
            <charset val="1"/>
          </rPr>
          <t xml:space="preserve">
</t>
        </r>
      </text>
    </comment>
    <comment ref="M12" authorId="0" shapeId="0" xr:uid="{8B1CAAF2-14AE-47C1-854C-127FA163B1FC}">
      <text>
        <r>
          <rPr>
            <sz val="10"/>
            <color indexed="81"/>
            <rFont val="Calibri"/>
            <family val="2"/>
            <scheme val="minor"/>
          </rPr>
          <t>This column uses the SUM function to calculate the total NPV of cashflows up to and including each time.</t>
        </r>
      </text>
    </comment>
    <comment ref="N12" authorId="0" shapeId="0" xr:uid="{4A24B7BF-8EFF-44ED-B67A-19C1B2DBA410}">
      <text>
        <r>
          <rPr>
            <sz val="10"/>
            <color indexed="81"/>
            <rFont val="Calibri"/>
            <family val="2"/>
            <scheme val="minor"/>
          </rPr>
          <t>This column uses an IF function to indicate whether the NPV of cashflows up to and including each time is positive.  Column O then gives the time when this first occurs, which is the DPP recorded in cell O9.
Note that it is not necessary to automate this process.  The time when the running NPV first becomes positive can instead be identified by looking down the values in column M by eye.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AEG User</author>
  </authors>
  <commentList>
    <comment ref="B3" authorId="0" shapeId="0" xr:uid="{3631861B-D752-48CC-B43E-2E291AB73A65}">
      <text>
        <r>
          <rPr>
            <sz val="10"/>
            <color indexed="81"/>
            <rFont val="Calibri"/>
            <family val="2"/>
            <scheme val="minor"/>
          </rPr>
          <t xml:space="preserve">This worksheet is a copy of the 'Calculations (i)' worksheet used to calculate the discounted payback period.  
The payback period is the length of time it takes for the project to move into profit </t>
        </r>
        <r>
          <rPr>
            <i/>
            <sz val="10"/>
            <color indexed="81"/>
            <rFont val="Calibri"/>
            <family val="2"/>
            <scheme val="minor"/>
          </rPr>
          <t>ignoring interest</t>
        </r>
        <r>
          <rPr>
            <sz val="10"/>
            <color indexed="81"/>
            <rFont val="Calibri"/>
            <family val="2"/>
            <scheme val="minor"/>
          </rPr>
          <t>, so we must change the annual effective interest rate used in the calculations from 7% to 0%.</t>
        </r>
        <r>
          <rPr>
            <sz val="9"/>
            <color indexed="81"/>
            <rFont val="Tahoma"/>
            <charset val="1"/>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AEG User</author>
    <author>tanya mehta</author>
  </authors>
  <commentList>
    <comment ref="F13" authorId="0" shapeId="0" xr:uid="{857216D8-4AE9-4515-9B11-6DE0C4BDBC17}">
      <text>
        <r>
          <rPr>
            <sz val="10"/>
            <color indexed="81"/>
            <rFont val="Calibri"/>
            <family val="2"/>
            <scheme val="minor"/>
          </rPr>
          <t xml:space="preserve">Since the tournament income is </t>
        </r>
        <r>
          <rPr>
            <i/>
            <sz val="10"/>
            <color indexed="81"/>
            <rFont val="Calibri"/>
            <family val="2"/>
            <scheme val="minor"/>
          </rPr>
          <t>only</t>
        </r>
        <r>
          <rPr>
            <sz val="10"/>
            <color indexed="81"/>
            <rFont val="Calibri"/>
            <family val="2"/>
            <scheme val="minor"/>
          </rPr>
          <t xml:space="preserve"> received in July and the maintenance cost is incurred in every month </t>
        </r>
        <r>
          <rPr>
            <i/>
            <sz val="10"/>
            <color indexed="81"/>
            <rFont val="Calibri"/>
            <family val="2"/>
            <scheme val="minor"/>
          </rPr>
          <t xml:space="preserve">except </t>
        </r>
        <r>
          <rPr>
            <sz val="10"/>
            <color indexed="81"/>
            <rFont val="Calibri"/>
            <family val="2"/>
            <scheme val="minor"/>
          </rPr>
          <t>July, we need an indicator function to tell us whether the month is July or not.  
Here, we use the IF and MONTH functions to give a value of 1 if it is July and 0 otherwise.
The MONTH function applies to dates, and returns the number of the month during the year, with January = 1, and December = 12.</t>
        </r>
        <r>
          <rPr>
            <sz val="9"/>
            <color indexed="81"/>
            <rFont val="Tahoma"/>
            <family val="2"/>
          </rPr>
          <t xml:space="preserve">
</t>
        </r>
      </text>
    </comment>
    <comment ref="G13" authorId="0" shapeId="0" xr:uid="{029C26CE-D3A3-442E-950A-EACCA3A555EE}">
      <text>
        <r>
          <rPr>
            <sz val="10"/>
            <color indexed="81"/>
            <rFont val="Calibri"/>
            <family val="2"/>
            <scheme val="minor"/>
          </rPr>
          <t>This is the initial loan amount in the first month, and the balance at the end of the previous month (from column M) thereafter.</t>
        </r>
      </text>
    </comment>
    <comment ref="H13" authorId="0" shapeId="0" xr:uid="{E86ACC35-5566-45EC-BCA6-463379CFD8C0}">
      <text>
        <r>
          <rPr>
            <sz val="10"/>
            <color indexed="81"/>
            <rFont val="Calibri"/>
            <family val="2"/>
            <scheme val="minor"/>
          </rPr>
          <t>As this is an interest-only loan, the same amount of interest is paid in each month.  This is the loan amount multiplied by the loan interest rate, iLoan, which here is 1%.</t>
        </r>
      </text>
    </comment>
    <comment ref="I13" authorId="0" shapeId="0" xr:uid="{5AAE279B-2E09-4D6E-ABB5-A63C8D0B5200}">
      <text>
        <r>
          <rPr>
            <sz val="10"/>
            <color indexed="81"/>
            <rFont val="Calibri"/>
            <family val="2"/>
            <scheme val="minor"/>
          </rPr>
          <t>We are given the total building cost in each of the first three years, and these costs are incurred monthly.</t>
        </r>
      </text>
    </comment>
    <comment ref="J13" authorId="0" shapeId="0" xr:uid="{111E6483-42FD-429B-B0A6-E781D05B3343}">
      <text>
        <r>
          <rPr>
            <sz val="10"/>
            <color indexed="81"/>
            <rFont val="Calibri"/>
            <family val="2"/>
            <scheme val="minor"/>
          </rPr>
          <t>The first maintenance cost is incurred in August 2023.  It is then incurred in every month thereafter, except in July, so we use the value of the indicator function in column F to achieve this.</t>
        </r>
        <r>
          <rPr>
            <sz val="9"/>
            <color indexed="81"/>
            <rFont val="Tahoma"/>
            <family val="2"/>
          </rPr>
          <t xml:space="preserve">
</t>
        </r>
      </text>
    </comment>
    <comment ref="K13" authorId="0" shapeId="0" xr:uid="{56097B20-F1AC-4762-9B20-90BD13122B05}">
      <text>
        <r>
          <rPr>
            <sz val="10"/>
            <color indexed="81"/>
            <rFont val="Calibri"/>
            <family val="2"/>
            <scheme val="minor"/>
          </rPr>
          <t xml:space="preserve">The first income from the stadium is received in July 2023.  It is then received in July each year thereafter, so we use the indicator function in column F to achieve this.
The income increases by 0.75 in each subsequent year, </t>
        </r>
        <r>
          <rPr>
            <i/>
            <sz val="10"/>
            <color indexed="81"/>
            <rFont val="Calibri"/>
            <family val="2"/>
            <scheme val="minor"/>
          </rPr>
          <t>ie</t>
        </r>
        <r>
          <rPr>
            <sz val="10"/>
            <color indexed="81"/>
            <rFont val="Calibri"/>
            <family val="2"/>
            <scheme val="minor"/>
          </rPr>
          <t xml:space="preserve"> there is one increase for each year after 2023.  We use the YEAR function to calculate the number of increases needed.
The YEAR function applies to dates, and returns the year the date is in, </t>
        </r>
        <r>
          <rPr>
            <i/>
            <sz val="10"/>
            <color indexed="81"/>
            <rFont val="Calibri"/>
            <family val="2"/>
            <scheme val="minor"/>
          </rPr>
          <t>eg</t>
        </r>
        <r>
          <rPr>
            <sz val="10"/>
            <color indexed="81"/>
            <rFont val="Calibri"/>
            <family val="2"/>
            <scheme val="minor"/>
          </rPr>
          <t xml:space="preserve"> YEAR(21/3/2008) = 2008.</t>
        </r>
        <r>
          <rPr>
            <sz val="9"/>
            <color indexed="81"/>
            <rFont val="Tahoma"/>
            <family val="2"/>
          </rPr>
          <t xml:space="preserve">
</t>
        </r>
      </text>
    </comment>
    <comment ref="M13" authorId="0" shapeId="0" xr:uid="{EAD88F78-9D8E-429B-BCF0-DB0FA0901FA3}">
      <text>
        <r>
          <rPr>
            <sz val="10"/>
            <color indexed="81"/>
            <rFont val="Calibri"/>
            <family val="2"/>
            <scheme val="minor"/>
          </rPr>
          <t xml:space="preserve">This is calculated as the loan balance at the start of the month, accumulated with interest of 0.85%, less the outgo under the project (loan interest paid, building cost, maintenance cost, and loan repayment), plus the stadium income.
The loan balance at the start of the month is accumulated with interest </t>
        </r>
        <r>
          <rPr>
            <i/>
            <sz val="10"/>
            <color indexed="81"/>
            <rFont val="Calibri"/>
            <family val="2"/>
            <scheme val="minor"/>
          </rPr>
          <t>before</t>
        </r>
        <r>
          <rPr>
            <sz val="10"/>
            <color indexed="81"/>
            <rFont val="Calibri"/>
            <family val="2"/>
            <scheme val="minor"/>
          </rPr>
          <t xml:space="preserve"> the outgo is deducted and the income is added because the cashflows in the project all occur at the end of each month.</t>
        </r>
      </text>
    </comment>
    <comment ref="L133" authorId="1" shapeId="0" xr:uid="{027FE6DC-A3E6-4FE1-9897-E6016C3181EB}">
      <text>
        <r>
          <rPr>
            <b/>
            <sz val="9"/>
            <color indexed="81"/>
            <rFont val="Tahoma"/>
            <family val="2"/>
          </rPr>
          <t>Since, this is an interest only loan, it will be repaid in the end of the term</t>
        </r>
      </text>
    </comment>
    <comment ref="M133" authorId="1" shapeId="0" xr:uid="{13C51591-D423-4530-9DD5-D8E4DEB5B12A}">
      <text>
        <r>
          <rPr>
            <b/>
            <sz val="9"/>
            <color indexed="81"/>
            <rFont val="Tahoma"/>
            <family val="2"/>
          </rPr>
          <t>This is the final balance of the bank account at the end of the project, after the loan is repaid.  This is the accumulated profit.</t>
        </r>
      </text>
    </comment>
  </commentList>
</comments>
</file>

<file path=xl/sharedStrings.xml><?xml version="1.0" encoding="utf-8"?>
<sst xmlns="http://schemas.openxmlformats.org/spreadsheetml/2006/main" count="177" uniqueCount="104">
  <si>
    <t>(i) Net Present Value</t>
  </si>
  <si>
    <t>i</t>
  </si>
  <si>
    <t>Income increase factor</t>
  </si>
  <si>
    <t>Continous annuity factor</t>
  </si>
  <si>
    <t>Outgo</t>
  </si>
  <si>
    <t>Time of payment (years)</t>
  </si>
  <si>
    <t>Payment</t>
  </si>
  <si>
    <t>Discount factor</t>
  </si>
  <si>
    <t>PV</t>
  </si>
  <si>
    <t>Income</t>
  </si>
  <si>
    <t>Year of project</t>
  </si>
  <si>
    <t>Time at start of year</t>
  </si>
  <si>
    <t>PV of income at start of year</t>
  </si>
  <si>
    <t>Discount factor (from start of year)</t>
  </si>
  <si>
    <t>PV of income at start of project</t>
  </si>
  <si>
    <t>Sale proceeds</t>
  </si>
  <si>
    <t>PV of sale proceeds</t>
  </si>
  <si>
    <t>Annual rate of income</t>
  </si>
  <si>
    <t>Total PV (outgo)</t>
  </si>
  <si>
    <t>Total PV (inflow)</t>
  </si>
  <si>
    <t xml:space="preserve">Net Present Value </t>
  </si>
  <si>
    <t>Internal rate of return</t>
  </si>
  <si>
    <t>Income increase factor 1</t>
  </si>
  <si>
    <t>Income increase factor 2</t>
  </si>
  <si>
    <t>Annual effective interest rate</t>
  </si>
  <si>
    <t>Project A NPV (in millions)</t>
  </si>
  <si>
    <t>Project B NPV (in millions)</t>
  </si>
  <si>
    <t>(i)</t>
  </si>
  <si>
    <t>Project A NPV positive?</t>
  </si>
  <si>
    <t>Project B NPV positive?</t>
  </si>
  <si>
    <t>Project A NPV exceeds Project B NPV</t>
  </si>
  <si>
    <t>(a)</t>
  </si>
  <si>
    <t>Range of interest rates for Project A IRR:</t>
  </si>
  <si>
    <t>to</t>
  </si>
  <si>
    <t>(b)</t>
  </si>
  <si>
    <t>Range of interest rates for Project B IRR:</t>
  </si>
  <si>
    <t>(c)</t>
  </si>
  <si>
    <t>Range of interest rates in which NPVs are equal:</t>
  </si>
  <si>
    <t>(ii)</t>
  </si>
  <si>
    <t>(i) Discounted Payback Period</t>
  </si>
  <si>
    <t>Annual effective interest rate (i)</t>
  </si>
  <si>
    <t>Quarterly cost of training course (TrainCost)</t>
  </si>
  <si>
    <t>Annual cost of lost productivity (LostProd)</t>
  </si>
  <si>
    <t>Annual additional revenue (AddRev)</t>
  </si>
  <si>
    <t>Annual increase in revenue (RevInc)</t>
  </si>
  <si>
    <t>Annual additional salary (AddSal)</t>
  </si>
  <si>
    <t>Annual additional bonus (AddBonus)</t>
  </si>
  <si>
    <t>Length of DPP:</t>
  </si>
  <si>
    <t>years</t>
  </si>
  <si>
    <t>Annual increase in salary/bonus (SalInc)</t>
  </si>
  <si>
    <t>Time (years)</t>
  </si>
  <si>
    <t>Cost of training course</t>
  </si>
  <si>
    <t>Cost of lost productivity</t>
  </si>
  <si>
    <t>Additional revenue generated</t>
  </si>
  <si>
    <t>Cost of additional salary</t>
  </si>
  <si>
    <t>Cost of additional bonus</t>
  </si>
  <si>
    <t>Net cashflow</t>
  </si>
  <si>
    <t>Running NPV</t>
  </si>
  <si>
    <t>Positive running NPV?</t>
  </si>
  <si>
    <t>DPP</t>
  </si>
  <si>
    <t xml:space="preserve"> </t>
  </si>
  <si>
    <t>Length of PP:</t>
  </si>
  <si>
    <t>PP</t>
  </si>
  <si>
    <t>(ii) Payback Period</t>
  </si>
  <si>
    <t>Year</t>
  </si>
  <si>
    <t>Spot rates</t>
  </si>
  <si>
    <t>Forward rate for half year</t>
  </si>
  <si>
    <t>Annualised forward rate</t>
  </si>
  <si>
    <t>Investment</t>
  </si>
  <si>
    <t>Costs</t>
  </si>
  <si>
    <t>Annual income</t>
  </si>
  <si>
    <t>Net cash flow</t>
  </si>
  <si>
    <t>Forward rates</t>
  </si>
  <si>
    <t>NPV</t>
  </si>
  <si>
    <t>Answer</t>
  </si>
  <si>
    <t>Cumulative cash flow</t>
  </si>
  <si>
    <t>Years in which cash flow is positive</t>
  </si>
  <si>
    <t>Spot rate</t>
  </si>
  <si>
    <t>PV of each cash flow at t = 0</t>
  </si>
  <si>
    <t>Cumulative PV of CF</t>
  </si>
  <si>
    <t>Years in which PV cash flow is positive</t>
  </si>
  <si>
    <t>Payback period</t>
  </si>
  <si>
    <t>(iii)</t>
  </si>
  <si>
    <t>Accumulated profit</t>
  </si>
  <si>
    <t>Monthly effective loan interest rate</t>
  </si>
  <si>
    <t>Monthly effective account interest rate</t>
  </si>
  <si>
    <t>Initial loan amount</t>
  </si>
  <si>
    <t>Building costs in year 1</t>
  </si>
  <si>
    <t>Building costs in year 2</t>
  </si>
  <si>
    <t>Building costs in year 3</t>
  </si>
  <si>
    <t>monthly maintenance cost</t>
  </si>
  <si>
    <t>initial july stadium income</t>
  </si>
  <si>
    <t>annual increase in july stadium income</t>
  </si>
  <si>
    <t>million</t>
  </si>
  <si>
    <t>Month</t>
  </si>
  <si>
    <t>Date at start of month</t>
  </si>
  <si>
    <t>July?</t>
  </si>
  <si>
    <t>Balance at start of month</t>
  </si>
  <si>
    <t>Loan interest paid</t>
  </si>
  <si>
    <t>Building cost</t>
  </si>
  <si>
    <t>Maintenance cost</t>
  </si>
  <si>
    <t>Stadium income</t>
  </si>
  <si>
    <t>Loan repayment</t>
  </si>
  <si>
    <t>Balance at end of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</si>
</sst>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 #,##0.00_ ;_ * \-#,##0.00_ ;_ * &quot;-&quot;??_ ;_ @_ "/>
    <numFmt numFmtId="164" formatCode="0.00000"/>
    <numFmt numFmtId="165" formatCode="0.000"/>
    <numFmt numFmtId="166" formatCode="0.0000"/>
    <numFmt numFmtId="169" formatCode="0.0%"/>
    <numFmt numFmtId="170" formatCode="_(* #,##0_);_(* \(#,##0\);_(* &quot;-&quot;??_);_(@_)"/>
    <numFmt numFmtId="172" formatCode="_-* #,##0_-;\-* #,##0_-;_-* &quot;-&quot;??_-;_-@_-"/>
    <numFmt numFmtId="173" formatCode="_-* #,##0.000_-;\-* #,##0.000_-;_-* &quot;-&quot;??_-;_-@_-"/>
  </numFmts>
  <fonts count="12" x14ac:knownFonts="1">
    <font>
      <sz val="11"/>
      <color theme="1"/>
      <name val="Calibri"/>
      <family val="2"/>
      <scheme val="minor"/>
    </font>
    <font>
      <sz val="11"/>
      <color theme="1"/>
      <name val="Calibri"/>
      <family val="2"/>
      <scheme val="minor"/>
    </font>
    <font>
      <sz val="10"/>
      <color indexed="81"/>
      <name val="Calibri"/>
      <family val="2"/>
      <scheme val="minor"/>
    </font>
    <font>
      <i/>
      <sz val="10"/>
      <color indexed="81"/>
      <name val="Calibri"/>
      <family val="2"/>
      <scheme val="minor"/>
    </font>
    <font>
      <sz val="9"/>
      <color indexed="81"/>
      <name val="Tahoma"/>
      <charset val="1"/>
    </font>
    <font>
      <b/>
      <sz val="9"/>
      <color indexed="81"/>
      <name val="Tahoma"/>
      <charset val="1"/>
    </font>
    <font>
      <sz val="9"/>
      <color indexed="81"/>
      <name val="Tahoma"/>
      <family val="2"/>
    </font>
    <font>
      <sz val="10"/>
      <color theme="1"/>
      <name val="Arial"/>
      <family val="2"/>
    </font>
    <font>
      <sz val="10"/>
      <name val="Arial"/>
      <family val="2"/>
    </font>
    <font>
      <b/>
      <sz val="10"/>
      <color theme="1"/>
      <name val="Calibri"/>
      <family val="2"/>
      <scheme val="minor"/>
    </font>
    <font>
      <sz val="10"/>
      <color rgb="FFFF0000"/>
      <name val="Calibri"/>
      <family val="2"/>
      <scheme val="minor"/>
    </font>
    <font>
      <b/>
      <sz val="9"/>
      <color indexed="81"/>
      <name val="Tahom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8">
    <xf numFmtId="0" fontId="0" fillId="0" borderId="0" xfId="0"/>
    <xf numFmtId="10" fontId="0" fillId="0" borderId="0" xfId="0" applyNumberFormat="1"/>
    <xf numFmtId="9" fontId="0" fillId="0" borderId="0" xfId="0" applyNumberFormat="1"/>
    <xf numFmtId="164" fontId="0" fillId="0" borderId="0" xfId="0" applyNumberFormat="1"/>
    <xf numFmtId="0" fontId="0" fillId="2" borderId="1" xfId="0" applyFill="1" applyBorder="1" applyAlignment="1">
      <alignment horizontal="center"/>
    </xf>
    <xf numFmtId="0" fontId="0" fillId="2" borderId="0" xfId="0" applyFill="1"/>
    <xf numFmtId="0" fontId="0" fillId="2" borderId="1" xfId="0" applyFill="1" applyBorder="1" applyAlignment="1">
      <alignment horizontal="center" wrapText="1"/>
    </xf>
    <xf numFmtId="165" fontId="0" fillId="0" borderId="1" xfId="0" applyNumberFormat="1" applyBorder="1" applyAlignment="1">
      <alignment horizontal="center"/>
    </xf>
    <xf numFmtId="166" fontId="0" fillId="0" borderId="1" xfId="0" applyNumberFormat="1" applyBorder="1" applyAlignment="1">
      <alignment horizontal="center"/>
    </xf>
    <xf numFmtId="4" fontId="0" fillId="0" borderId="1" xfId="0" applyNumberFormat="1" applyBorder="1" applyAlignment="1">
      <alignment horizontal="center"/>
    </xf>
    <xf numFmtId="2" fontId="0" fillId="0" borderId="0" xfId="0" applyNumberFormat="1"/>
    <xf numFmtId="0" fontId="0" fillId="2" borderId="2" xfId="0" applyFill="1" applyBorder="1" applyAlignment="1">
      <alignment horizontal="center"/>
    </xf>
    <xf numFmtId="0" fontId="0" fillId="0" borderId="1" xfId="0" applyBorder="1" applyAlignment="1">
      <alignment horizontal="center"/>
    </xf>
    <xf numFmtId="166" fontId="0" fillId="0" borderId="1" xfId="0" applyNumberFormat="1" applyBorder="1"/>
    <xf numFmtId="2" fontId="0" fillId="0" borderId="1" xfId="0" applyNumberFormat="1" applyBorder="1"/>
    <xf numFmtId="0" fontId="0" fillId="0" borderId="1" xfId="0" applyBorder="1"/>
    <xf numFmtId="0" fontId="0" fillId="0" borderId="1" xfId="0" applyBorder="1" applyAlignment="1">
      <alignment horizontal="left"/>
    </xf>
    <xf numFmtId="3" fontId="0" fillId="2" borderId="1" xfId="0" applyNumberFormat="1" applyFill="1" applyBorder="1" applyAlignment="1">
      <alignment horizontal="center"/>
    </xf>
    <xf numFmtId="2" fontId="0" fillId="4" borderId="1" xfId="0" applyNumberFormat="1" applyFill="1" applyBorder="1"/>
    <xf numFmtId="169" fontId="0" fillId="0" borderId="1" xfId="2" applyNumberFormat="1" applyFont="1" applyFill="1" applyBorder="1" applyAlignment="1">
      <alignment horizontal="center" wrapText="1"/>
    </xf>
    <xf numFmtId="169" fontId="0" fillId="2" borderId="1" xfId="2" applyNumberFormat="1" applyFont="1" applyFill="1" applyBorder="1" applyAlignment="1">
      <alignment horizontal="center"/>
    </xf>
    <xf numFmtId="166" fontId="0" fillId="0" borderId="4" xfId="2" applyNumberFormat="1" applyFont="1" applyFill="1" applyBorder="1" applyAlignment="1">
      <alignment horizontal="center"/>
    </xf>
    <xf numFmtId="0" fontId="0" fillId="2" borderId="1" xfId="0" applyFill="1" applyBorder="1"/>
    <xf numFmtId="0" fontId="0" fillId="2" borderId="3" xfId="0" applyFill="1" applyBorder="1"/>
    <xf numFmtId="169" fontId="0" fillId="2" borderId="5" xfId="0" applyNumberFormat="1" applyFill="1" applyBorder="1" applyAlignment="1">
      <alignment horizontal="center"/>
    </xf>
    <xf numFmtId="0" fontId="0" fillId="2" borderId="5" xfId="0" applyFill="1" applyBorder="1" applyAlignment="1">
      <alignment horizontal="center"/>
    </xf>
    <xf numFmtId="169" fontId="0" fillId="2" borderId="6" xfId="0" applyNumberFormat="1" applyFill="1" applyBorder="1" applyAlignment="1">
      <alignment horizontal="center"/>
    </xf>
    <xf numFmtId="0" fontId="0" fillId="2" borderId="7" xfId="0" applyFill="1" applyBorder="1"/>
    <xf numFmtId="169" fontId="0" fillId="2" borderId="8" xfId="0" applyNumberFormat="1" applyFill="1" applyBorder="1" applyAlignment="1">
      <alignment horizontal="center"/>
    </xf>
    <xf numFmtId="0" fontId="0" fillId="2" borderId="8" xfId="0" applyFill="1" applyBorder="1" applyAlignment="1">
      <alignment horizontal="center"/>
    </xf>
    <xf numFmtId="169" fontId="0" fillId="2" borderId="9" xfId="0" applyNumberFormat="1" applyFill="1" applyBorder="1" applyAlignment="1">
      <alignment horizontal="center"/>
    </xf>
    <xf numFmtId="9" fontId="0" fillId="3" borderId="1" xfId="2" applyFont="1" applyFill="1" applyBorder="1"/>
    <xf numFmtId="3" fontId="0" fillId="3" borderId="1" xfId="0" applyNumberFormat="1" applyFill="1" applyBorder="1"/>
    <xf numFmtId="0" fontId="0" fillId="0" borderId="3" xfId="0" applyBorder="1" applyAlignment="1">
      <alignment horizontal="center"/>
    </xf>
    <xf numFmtId="2" fontId="0" fillId="0" borderId="5" xfId="0" applyNumberFormat="1" applyBorder="1" applyAlignment="1">
      <alignment horizontal="center"/>
    </xf>
    <xf numFmtId="0" fontId="0" fillId="0" borderId="6" xfId="0" applyBorder="1" applyAlignment="1">
      <alignment horizontal="center"/>
    </xf>
    <xf numFmtId="0" fontId="0" fillId="0" borderId="1" xfId="0" applyBorder="1" applyAlignment="1">
      <alignment horizontal="center" wrapText="1"/>
    </xf>
    <xf numFmtId="2" fontId="0" fillId="0" borderId="1" xfId="0" applyNumberFormat="1" applyBorder="1" applyAlignment="1">
      <alignment horizontal="center"/>
    </xf>
    <xf numFmtId="0" fontId="7" fillId="0" borderId="0" xfId="0" applyFont="1" applyBorder="1"/>
    <xf numFmtId="10" fontId="7" fillId="0" borderId="0" xfId="0" applyNumberFormat="1" applyFont="1" applyBorder="1"/>
    <xf numFmtId="169" fontId="7" fillId="0" borderId="0" xfId="0" applyNumberFormat="1" applyFont="1" applyBorder="1"/>
    <xf numFmtId="0" fontId="8" fillId="0" borderId="0" xfId="0" applyFont="1" applyBorder="1" applyAlignment="1">
      <alignment horizontal="center" vertical="center" wrapText="1"/>
    </xf>
    <xf numFmtId="170" fontId="0" fillId="0" borderId="0" xfId="0" applyNumberFormat="1"/>
    <xf numFmtId="170" fontId="0" fillId="0" borderId="10" xfId="0" applyNumberFormat="1" applyBorder="1"/>
    <xf numFmtId="0" fontId="9" fillId="0" borderId="0" xfId="0" applyFont="1"/>
    <xf numFmtId="170" fontId="0" fillId="2" borderId="0" xfId="0" applyNumberFormat="1" applyFill="1"/>
    <xf numFmtId="0" fontId="0" fillId="0" borderId="0" xfId="0" applyAlignment="1">
      <alignment vertical="center"/>
    </xf>
    <xf numFmtId="0" fontId="0" fillId="0" borderId="0" xfId="0" applyAlignment="1">
      <alignment vertical="center" wrapText="1"/>
    </xf>
    <xf numFmtId="43" fontId="0" fillId="0" borderId="0" xfId="1" applyFont="1"/>
    <xf numFmtId="172" fontId="0" fillId="0" borderId="0" xfId="1" applyNumberFormat="1" applyFont="1"/>
    <xf numFmtId="173" fontId="0" fillId="0" borderId="0" xfId="1" applyNumberFormat="1" applyFont="1"/>
    <xf numFmtId="0" fontId="0" fillId="0" borderId="11" xfId="0" applyBorder="1"/>
    <xf numFmtId="173" fontId="0" fillId="0" borderId="12" xfId="1" applyNumberFormat="1" applyFont="1" applyBorder="1"/>
    <xf numFmtId="0" fontId="10" fillId="0" borderId="0" xfId="0" applyFont="1"/>
    <xf numFmtId="1" fontId="0" fillId="0" borderId="1" xfId="0" applyNumberFormat="1" applyBorder="1" applyAlignment="1">
      <alignment horizontal="center"/>
    </xf>
    <xf numFmtId="14" fontId="0" fillId="0" borderId="1" xfId="0" applyNumberFormat="1" applyBorder="1" applyAlignment="1">
      <alignment horizontal="center"/>
    </xf>
    <xf numFmtId="165" fontId="0" fillId="0" borderId="1" xfId="0" applyNumberFormat="1" applyBorder="1"/>
    <xf numFmtId="0" fontId="0" fillId="0" borderId="1" xfId="0" applyBorder="1" applyAlignment="1">
      <alignment horizontal="lef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IN"/>
              <a:t>Net Present Value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Project A</c:v>
          </c:tx>
          <c:spPr>
            <a:ln w="28575" cap="rnd">
              <a:solidFill>
                <a:schemeClr val="accent1"/>
              </a:solidFill>
              <a:round/>
            </a:ln>
            <a:effectLst/>
          </c:spPr>
          <c:marker>
            <c:symbol val="none"/>
          </c:marker>
          <c:cat>
            <c:numRef>
              <c:f>'Question 3'!$A$4:$A$154</c:f>
              <c:numCache>
                <c:formatCode>0.0%</c:formatCode>
                <c:ptCount val="151"/>
                <c:pt idx="0">
                  <c:v>0</c:v>
                </c:pt>
                <c:pt idx="1">
                  <c:v>1E-3</c:v>
                </c:pt>
                <c:pt idx="2">
                  <c:v>2E-3</c:v>
                </c:pt>
                <c:pt idx="3">
                  <c:v>3.0000000000000001E-3</c:v>
                </c:pt>
                <c:pt idx="4">
                  <c:v>4.0000000000000001E-3</c:v>
                </c:pt>
                <c:pt idx="5">
                  <c:v>5.0000000000000001E-3</c:v>
                </c:pt>
                <c:pt idx="6">
                  <c:v>6.0000000000000001E-3</c:v>
                </c:pt>
                <c:pt idx="7">
                  <c:v>7.0000000000000001E-3</c:v>
                </c:pt>
                <c:pt idx="8">
                  <c:v>8.0000000000000002E-3</c:v>
                </c:pt>
                <c:pt idx="9">
                  <c:v>9.0000000000000011E-3</c:v>
                </c:pt>
                <c:pt idx="10">
                  <c:v>1.0000000000000002E-2</c:v>
                </c:pt>
                <c:pt idx="11">
                  <c:v>1.1000000000000003E-2</c:v>
                </c:pt>
                <c:pt idx="12">
                  <c:v>1.2000000000000004E-2</c:v>
                </c:pt>
                <c:pt idx="13">
                  <c:v>1.3000000000000005E-2</c:v>
                </c:pt>
                <c:pt idx="14">
                  <c:v>1.4000000000000005E-2</c:v>
                </c:pt>
                <c:pt idx="15">
                  <c:v>1.5000000000000006E-2</c:v>
                </c:pt>
                <c:pt idx="16">
                  <c:v>1.6000000000000007E-2</c:v>
                </c:pt>
                <c:pt idx="17">
                  <c:v>1.7000000000000008E-2</c:v>
                </c:pt>
                <c:pt idx="18">
                  <c:v>1.8000000000000009E-2</c:v>
                </c:pt>
                <c:pt idx="19">
                  <c:v>1.900000000000001E-2</c:v>
                </c:pt>
                <c:pt idx="20">
                  <c:v>2.0000000000000011E-2</c:v>
                </c:pt>
                <c:pt idx="21">
                  <c:v>2.1000000000000012E-2</c:v>
                </c:pt>
                <c:pt idx="22">
                  <c:v>2.2000000000000013E-2</c:v>
                </c:pt>
                <c:pt idx="23">
                  <c:v>2.3000000000000013E-2</c:v>
                </c:pt>
                <c:pt idx="24">
                  <c:v>2.4000000000000014E-2</c:v>
                </c:pt>
                <c:pt idx="25">
                  <c:v>2.5000000000000015E-2</c:v>
                </c:pt>
                <c:pt idx="26">
                  <c:v>2.6000000000000016E-2</c:v>
                </c:pt>
                <c:pt idx="27">
                  <c:v>2.7000000000000017E-2</c:v>
                </c:pt>
                <c:pt idx="28">
                  <c:v>2.8000000000000018E-2</c:v>
                </c:pt>
                <c:pt idx="29">
                  <c:v>2.9000000000000019E-2</c:v>
                </c:pt>
                <c:pt idx="30">
                  <c:v>3.000000000000002E-2</c:v>
                </c:pt>
                <c:pt idx="31">
                  <c:v>3.1000000000000021E-2</c:v>
                </c:pt>
                <c:pt idx="32">
                  <c:v>3.2000000000000021E-2</c:v>
                </c:pt>
                <c:pt idx="33">
                  <c:v>3.3000000000000022E-2</c:v>
                </c:pt>
                <c:pt idx="34">
                  <c:v>3.4000000000000023E-2</c:v>
                </c:pt>
                <c:pt idx="35">
                  <c:v>3.5000000000000024E-2</c:v>
                </c:pt>
                <c:pt idx="36">
                  <c:v>3.6000000000000025E-2</c:v>
                </c:pt>
                <c:pt idx="37">
                  <c:v>3.7000000000000026E-2</c:v>
                </c:pt>
                <c:pt idx="38">
                  <c:v>3.8000000000000027E-2</c:v>
                </c:pt>
                <c:pt idx="39">
                  <c:v>3.9000000000000028E-2</c:v>
                </c:pt>
                <c:pt idx="40">
                  <c:v>4.0000000000000029E-2</c:v>
                </c:pt>
                <c:pt idx="41">
                  <c:v>4.1000000000000029E-2</c:v>
                </c:pt>
                <c:pt idx="42">
                  <c:v>4.200000000000003E-2</c:v>
                </c:pt>
                <c:pt idx="43">
                  <c:v>4.3000000000000031E-2</c:v>
                </c:pt>
                <c:pt idx="44">
                  <c:v>4.4000000000000032E-2</c:v>
                </c:pt>
                <c:pt idx="45">
                  <c:v>4.5000000000000033E-2</c:v>
                </c:pt>
                <c:pt idx="46">
                  <c:v>4.6000000000000034E-2</c:v>
                </c:pt>
                <c:pt idx="47">
                  <c:v>4.7000000000000035E-2</c:v>
                </c:pt>
                <c:pt idx="48">
                  <c:v>4.8000000000000036E-2</c:v>
                </c:pt>
                <c:pt idx="49">
                  <c:v>4.9000000000000037E-2</c:v>
                </c:pt>
                <c:pt idx="50">
                  <c:v>5.0000000000000037E-2</c:v>
                </c:pt>
                <c:pt idx="51">
                  <c:v>5.1000000000000038E-2</c:v>
                </c:pt>
                <c:pt idx="52">
                  <c:v>5.2000000000000039E-2</c:v>
                </c:pt>
                <c:pt idx="53">
                  <c:v>5.300000000000004E-2</c:v>
                </c:pt>
                <c:pt idx="54">
                  <c:v>5.4000000000000041E-2</c:v>
                </c:pt>
                <c:pt idx="55">
                  <c:v>5.5000000000000042E-2</c:v>
                </c:pt>
                <c:pt idx="56">
                  <c:v>5.6000000000000043E-2</c:v>
                </c:pt>
                <c:pt idx="57">
                  <c:v>5.7000000000000044E-2</c:v>
                </c:pt>
                <c:pt idx="58">
                  <c:v>5.8000000000000045E-2</c:v>
                </c:pt>
                <c:pt idx="59">
                  <c:v>5.9000000000000045E-2</c:v>
                </c:pt>
                <c:pt idx="60">
                  <c:v>6.0000000000000046E-2</c:v>
                </c:pt>
                <c:pt idx="61">
                  <c:v>6.1000000000000047E-2</c:v>
                </c:pt>
                <c:pt idx="62">
                  <c:v>6.2000000000000048E-2</c:v>
                </c:pt>
                <c:pt idx="63">
                  <c:v>6.3000000000000042E-2</c:v>
                </c:pt>
                <c:pt idx="64">
                  <c:v>6.4000000000000043E-2</c:v>
                </c:pt>
                <c:pt idx="65">
                  <c:v>6.5000000000000044E-2</c:v>
                </c:pt>
                <c:pt idx="66">
                  <c:v>6.6000000000000045E-2</c:v>
                </c:pt>
                <c:pt idx="67">
                  <c:v>6.7000000000000046E-2</c:v>
                </c:pt>
                <c:pt idx="68">
                  <c:v>6.8000000000000047E-2</c:v>
                </c:pt>
                <c:pt idx="69">
                  <c:v>6.9000000000000047E-2</c:v>
                </c:pt>
                <c:pt idx="70">
                  <c:v>7.0000000000000048E-2</c:v>
                </c:pt>
                <c:pt idx="71">
                  <c:v>7.1000000000000049E-2</c:v>
                </c:pt>
                <c:pt idx="72">
                  <c:v>7.200000000000005E-2</c:v>
                </c:pt>
                <c:pt idx="73">
                  <c:v>7.3000000000000051E-2</c:v>
                </c:pt>
                <c:pt idx="74">
                  <c:v>7.4000000000000052E-2</c:v>
                </c:pt>
                <c:pt idx="75">
                  <c:v>7.5000000000000053E-2</c:v>
                </c:pt>
                <c:pt idx="76">
                  <c:v>7.6000000000000054E-2</c:v>
                </c:pt>
                <c:pt idx="77">
                  <c:v>7.7000000000000055E-2</c:v>
                </c:pt>
                <c:pt idx="78">
                  <c:v>7.8000000000000055E-2</c:v>
                </c:pt>
                <c:pt idx="79">
                  <c:v>7.9000000000000056E-2</c:v>
                </c:pt>
                <c:pt idx="80">
                  <c:v>8.0000000000000057E-2</c:v>
                </c:pt>
                <c:pt idx="81">
                  <c:v>8.1000000000000058E-2</c:v>
                </c:pt>
                <c:pt idx="82">
                  <c:v>8.2000000000000059E-2</c:v>
                </c:pt>
                <c:pt idx="83">
                  <c:v>8.300000000000006E-2</c:v>
                </c:pt>
                <c:pt idx="84">
                  <c:v>8.4000000000000061E-2</c:v>
                </c:pt>
                <c:pt idx="85">
                  <c:v>8.5000000000000062E-2</c:v>
                </c:pt>
                <c:pt idx="86">
                  <c:v>8.6000000000000063E-2</c:v>
                </c:pt>
                <c:pt idx="87">
                  <c:v>8.7000000000000063E-2</c:v>
                </c:pt>
                <c:pt idx="88">
                  <c:v>8.8000000000000064E-2</c:v>
                </c:pt>
                <c:pt idx="89">
                  <c:v>8.9000000000000065E-2</c:v>
                </c:pt>
                <c:pt idx="90">
                  <c:v>9.0000000000000066E-2</c:v>
                </c:pt>
                <c:pt idx="91">
                  <c:v>9.1000000000000067E-2</c:v>
                </c:pt>
                <c:pt idx="92">
                  <c:v>9.2000000000000068E-2</c:v>
                </c:pt>
                <c:pt idx="93">
                  <c:v>9.3000000000000069E-2</c:v>
                </c:pt>
                <c:pt idx="94">
                  <c:v>9.400000000000007E-2</c:v>
                </c:pt>
                <c:pt idx="95">
                  <c:v>9.500000000000007E-2</c:v>
                </c:pt>
                <c:pt idx="96">
                  <c:v>9.6000000000000071E-2</c:v>
                </c:pt>
                <c:pt idx="97">
                  <c:v>9.7000000000000072E-2</c:v>
                </c:pt>
                <c:pt idx="98">
                  <c:v>9.8000000000000073E-2</c:v>
                </c:pt>
                <c:pt idx="99">
                  <c:v>9.9000000000000074E-2</c:v>
                </c:pt>
                <c:pt idx="100">
                  <c:v>0.10000000000000007</c:v>
                </c:pt>
                <c:pt idx="101">
                  <c:v>0.10100000000000008</c:v>
                </c:pt>
                <c:pt idx="102">
                  <c:v>0.10200000000000008</c:v>
                </c:pt>
                <c:pt idx="103">
                  <c:v>0.10300000000000008</c:v>
                </c:pt>
                <c:pt idx="104">
                  <c:v>0.10400000000000008</c:v>
                </c:pt>
                <c:pt idx="105">
                  <c:v>0.10500000000000008</c:v>
                </c:pt>
                <c:pt idx="106">
                  <c:v>0.10600000000000008</c:v>
                </c:pt>
                <c:pt idx="107">
                  <c:v>0.10700000000000008</c:v>
                </c:pt>
                <c:pt idx="108">
                  <c:v>0.10800000000000008</c:v>
                </c:pt>
                <c:pt idx="109">
                  <c:v>0.10900000000000008</c:v>
                </c:pt>
                <c:pt idx="110">
                  <c:v>0.11000000000000008</c:v>
                </c:pt>
                <c:pt idx="111">
                  <c:v>0.11100000000000008</c:v>
                </c:pt>
                <c:pt idx="112">
                  <c:v>0.11200000000000009</c:v>
                </c:pt>
                <c:pt idx="113">
                  <c:v>0.11300000000000009</c:v>
                </c:pt>
                <c:pt idx="114">
                  <c:v>0.11400000000000009</c:v>
                </c:pt>
                <c:pt idx="115">
                  <c:v>0.11500000000000009</c:v>
                </c:pt>
                <c:pt idx="116">
                  <c:v>0.11600000000000009</c:v>
                </c:pt>
                <c:pt idx="117">
                  <c:v>0.11700000000000009</c:v>
                </c:pt>
                <c:pt idx="118">
                  <c:v>0.11800000000000009</c:v>
                </c:pt>
                <c:pt idx="119">
                  <c:v>0.11900000000000009</c:v>
                </c:pt>
                <c:pt idx="120">
                  <c:v>0.12000000000000009</c:v>
                </c:pt>
                <c:pt idx="121">
                  <c:v>0.12100000000000009</c:v>
                </c:pt>
                <c:pt idx="122">
                  <c:v>0.12200000000000009</c:v>
                </c:pt>
                <c:pt idx="123">
                  <c:v>0.1230000000000001</c:v>
                </c:pt>
                <c:pt idx="124">
                  <c:v>0.1240000000000001</c:v>
                </c:pt>
                <c:pt idx="125">
                  <c:v>0.12500000000000008</c:v>
                </c:pt>
                <c:pt idx="126">
                  <c:v>0.12600000000000008</c:v>
                </c:pt>
                <c:pt idx="127">
                  <c:v>0.12700000000000009</c:v>
                </c:pt>
                <c:pt idx="128">
                  <c:v>0.12800000000000009</c:v>
                </c:pt>
                <c:pt idx="129">
                  <c:v>0.12900000000000009</c:v>
                </c:pt>
                <c:pt idx="130">
                  <c:v>0.13000000000000009</c:v>
                </c:pt>
                <c:pt idx="131">
                  <c:v>0.13100000000000009</c:v>
                </c:pt>
                <c:pt idx="132">
                  <c:v>0.13200000000000009</c:v>
                </c:pt>
                <c:pt idx="133">
                  <c:v>0.13300000000000009</c:v>
                </c:pt>
                <c:pt idx="134">
                  <c:v>0.13400000000000009</c:v>
                </c:pt>
                <c:pt idx="135">
                  <c:v>0.13500000000000009</c:v>
                </c:pt>
                <c:pt idx="136">
                  <c:v>0.13600000000000009</c:v>
                </c:pt>
                <c:pt idx="137">
                  <c:v>0.13700000000000009</c:v>
                </c:pt>
                <c:pt idx="138">
                  <c:v>0.13800000000000009</c:v>
                </c:pt>
                <c:pt idx="139">
                  <c:v>0.1390000000000001</c:v>
                </c:pt>
                <c:pt idx="140">
                  <c:v>0.1400000000000001</c:v>
                </c:pt>
                <c:pt idx="141">
                  <c:v>0.1410000000000001</c:v>
                </c:pt>
                <c:pt idx="142">
                  <c:v>0.1420000000000001</c:v>
                </c:pt>
                <c:pt idx="143">
                  <c:v>0.1430000000000001</c:v>
                </c:pt>
                <c:pt idx="144">
                  <c:v>0.1440000000000001</c:v>
                </c:pt>
                <c:pt idx="145">
                  <c:v>0.1450000000000001</c:v>
                </c:pt>
                <c:pt idx="146">
                  <c:v>0.1460000000000001</c:v>
                </c:pt>
                <c:pt idx="147">
                  <c:v>0.1470000000000001</c:v>
                </c:pt>
                <c:pt idx="148">
                  <c:v>0.1480000000000001</c:v>
                </c:pt>
                <c:pt idx="149">
                  <c:v>0.1490000000000001</c:v>
                </c:pt>
                <c:pt idx="150">
                  <c:v>0.15000000000000011</c:v>
                </c:pt>
              </c:numCache>
            </c:numRef>
          </c:cat>
          <c:val>
            <c:numRef>
              <c:f>'Question 3'!$B$4:$B$154</c:f>
              <c:numCache>
                <c:formatCode>0.0000</c:formatCode>
                <c:ptCount val="151"/>
                <c:pt idx="0">
                  <c:v>0.60000000000000009</c:v>
                </c:pt>
                <c:pt idx="1">
                  <c:v>0.59321681568728724</c:v>
                </c:pt>
                <c:pt idx="2">
                  <c:v>0.58646712599491968</c:v>
                </c:pt>
                <c:pt idx="3">
                  <c:v>0.57975072690339102</c:v>
                </c:pt>
                <c:pt idx="4">
                  <c:v>0.57306741586576182</c:v>
                </c:pt>
                <c:pt idx="5">
                  <c:v>0.56641699179543648</c:v>
                </c:pt>
                <c:pt idx="6">
                  <c:v>0.55979925505402561</c:v>
                </c:pt>
                <c:pt idx="7">
                  <c:v>0.55321400743935567</c:v>
                </c:pt>
                <c:pt idx="8">
                  <c:v>0.54666105217355643</c:v>
                </c:pt>
                <c:pt idx="9">
                  <c:v>0.54014019389129153</c:v>
                </c:pt>
                <c:pt idx="10">
                  <c:v>0.5336512386280694</c:v>
                </c:pt>
                <c:pt idx="11">
                  <c:v>0.52719399380869048</c:v>
                </c:pt>
                <c:pt idx="12">
                  <c:v>0.52076826823577904</c:v>
                </c:pt>
                <c:pt idx="13">
                  <c:v>0.51437387207843854</c:v>
                </c:pt>
                <c:pt idx="14">
                  <c:v>0.50801061686100124</c:v>
                </c:pt>
                <c:pt idx="15">
                  <c:v>0.50167831545189312</c:v>
                </c:pt>
                <c:pt idx="16">
                  <c:v>0.49537678205258362</c:v>
                </c:pt>
                <c:pt idx="17">
                  <c:v>0.48910583218666659</c:v>
                </c:pt>
                <c:pt idx="18">
                  <c:v>0.48286528268900963</c:v>
                </c:pt>
                <c:pt idx="19">
                  <c:v>0.4766549516950318</c:v>
                </c:pt>
                <c:pt idx="20">
                  <c:v>0.47047465863006033</c:v>
                </c:pt>
                <c:pt idx="21">
                  <c:v>0.46432422419879904</c:v>
                </c:pt>
                <c:pt idx="22">
                  <c:v>0.45820347037488296</c:v>
                </c:pt>
                <c:pt idx="23">
                  <c:v>0.45211222039054233</c:v>
                </c:pt>
                <c:pt idx="24">
                  <c:v>0.4460502987263435</c:v>
                </c:pt>
                <c:pt idx="25">
                  <c:v>0.44001753110104591</c:v>
                </c:pt>
                <c:pt idx="26">
                  <c:v>0.43401374446153085</c:v>
                </c:pt>
                <c:pt idx="27">
                  <c:v>0.4280387669728396</c:v>
                </c:pt>
                <c:pt idx="28">
                  <c:v>0.42209242800829072</c:v>
                </c:pt>
                <c:pt idx="29">
                  <c:v>0.41617455813969761</c:v>
                </c:pt>
                <c:pt idx="30">
                  <c:v>0.41028498912766631</c:v>
                </c:pt>
                <c:pt idx="31">
                  <c:v>0.40442355391198936</c:v>
                </c:pt>
                <c:pt idx="32">
                  <c:v>0.39859008660212147</c:v>
                </c:pt>
                <c:pt idx="33">
                  <c:v>0.39278442246774992</c:v>
                </c:pt>
                <c:pt idx="34">
                  <c:v>0.38700639792943781</c:v>
                </c:pt>
                <c:pt idx="35">
                  <c:v>0.38125585054936861</c:v>
                </c:pt>
                <c:pt idx="36">
                  <c:v>0.37553261902215906</c:v>
                </c:pt>
                <c:pt idx="37">
                  <c:v>0.36983654316577108</c:v>
                </c:pt>
                <c:pt idx="38">
                  <c:v>0.36416746391248811</c:v>
                </c:pt>
                <c:pt idx="39">
                  <c:v>0.35852522329999181</c:v>
                </c:pt>
                <c:pt idx="40">
                  <c:v>0.3529096644625036</c:v>
                </c:pt>
                <c:pt idx="41">
                  <c:v>0.34732063162202143</c:v>
                </c:pt>
                <c:pt idx="42">
                  <c:v>0.34175797007961717</c:v>
                </c:pt>
                <c:pt idx="43">
                  <c:v>0.33622152620683488</c:v>
                </c:pt>
                <c:pt idx="44">
                  <c:v>0.33071114743714092</c:v>
                </c:pt>
                <c:pt idx="45">
                  <c:v>0.32522668225747942</c:v>
                </c:pt>
                <c:pt idx="46">
                  <c:v>0.31976798019987585</c:v>
                </c:pt>
                <c:pt idx="47">
                  <c:v>0.31433489183314101</c:v>
                </c:pt>
                <c:pt idx="48">
                  <c:v>0.30892726875462495</c:v>
                </c:pt>
                <c:pt idx="49">
                  <c:v>0.30354496358207195</c:v>
                </c:pt>
                <c:pt idx="50">
                  <c:v>0.29818782994551984</c:v>
                </c:pt>
                <c:pt idx="51">
                  <c:v>0.29285572247929759</c:v>
                </c:pt>
                <c:pt idx="52">
                  <c:v>0.28754849681407491</c:v>
                </c:pt>
                <c:pt idx="53">
                  <c:v>0.28226600956899617</c:v>
                </c:pt>
                <c:pt idx="54">
                  <c:v>0.2770081183438744</c:v>
                </c:pt>
                <c:pt idx="55">
                  <c:v>0.27177468171146457</c:v>
                </c:pt>
                <c:pt idx="56">
                  <c:v>0.26656555920979619</c:v>
                </c:pt>
                <c:pt idx="57">
                  <c:v>0.26138061133458224</c:v>
                </c:pt>
                <c:pt idx="58">
                  <c:v>0.25621969953168833</c:v>
                </c:pt>
                <c:pt idx="59">
                  <c:v>0.25108268618967555</c:v>
                </c:pt>
                <c:pt idx="60">
                  <c:v>0.24596943463240395</c:v>
                </c:pt>
                <c:pt idx="61">
                  <c:v>0.24087980911170548</c:v>
                </c:pt>
                <c:pt idx="62">
                  <c:v>0.23581367480011695</c:v>
                </c:pt>
                <c:pt idx="63">
                  <c:v>0.23077089778368576</c:v>
                </c:pt>
                <c:pt idx="64">
                  <c:v>0.22575134505482586</c:v>
                </c:pt>
                <c:pt idx="65">
                  <c:v>0.22075488450525516</c:v>
                </c:pt>
                <c:pt idx="66">
                  <c:v>0.21578138491897181</c:v>
                </c:pt>
                <c:pt idx="67">
                  <c:v>0.21083071596531822</c:v>
                </c:pt>
                <c:pt idx="68">
                  <c:v>0.20590274819208099</c:v>
                </c:pt>
                <c:pt idx="69">
                  <c:v>0.20099735301867416</c:v>
                </c:pt>
                <c:pt idx="70">
                  <c:v>0.19611440272936287</c:v>
                </c:pt>
                <c:pt idx="71">
                  <c:v>0.19125377046656289</c:v>
                </c:pt>
                <c:pt idx="72">
                  <c:v>0.18641533022418288</c:v>
                </c:pt>
                <c:pt idx="73">
                  <c:v>0.18159895684104232</c:v>
                </c:pt>
                <c:pt idx="74">
                  <c:v>0.17680452599432783</c:v>
                </c:pt>
                <c:pt idx="75">
                  <c:v>0.17203191419312902</c:v>
                </c:pt>
                <c:pt idx="76">
                  <c:v>0.16728099877200475</c:v>
                </c:pt>
                <c:pt idx="77">
                  <c:v>0.16255165788463022</c:v>
                </c:pt>
                <c:pt idx="78">
                  <c:v>0.15784377049748288</c:v>
                </c:pt>
                <c:pt idx="79">
                  <c:v>0.15315721638359059</c:v>
                </c:pt>
                <c:pt idx="80">
                  <c:v>0.14849187611632897</c:v>
                </c:pt>
                <c:pt idx="81">
                  <c:v>0.14384763106328258</c:v>
                </c:pt>
                <c:pt idx="82">
                  <c:v>0.13922436338014577</c:v>
                </c:pt>
                <c:pt idx="83">
                  <c:v>0.13462195600468752</c:v>
                </c:pt>
                <c:pt idx="84">
                  <c:v>0.13004029265076156</c:v>
                </c:pt>
                <c:pt idx="85">
                  <c:v>0.1254792578023749</c:v>
                </c:pt>
                <c:pt idx="86">
                  <c:v>0.12093873670779787</c:v>
                </c:pt>
                <c:pt idx="87">
                  <c:v>0.11641861537373788</c:v>
                </c:pt>
                <c:pt idx="88">
                  <c:v>0.11191878055955029</c:v>
                </c:pt>
                <c:pt idx="89">
                  <c:v>0.10743911977150966</c:v>
                </c:pt>
                <c:pt idx="90">
                  <c:v>0.10297952125712229</c:v>
                </c:pt>
                <c:pt idx="91">
                  <c:v>9.8539873999495597E-2</c:v>
                </c:pt>
                <c:pt idx="92">
                  <c:v>9.4120067711745747E-2</c:v>
                </c:pt>
                <c:pt idx="93">
                  <c:v>8.9719992831467366E-2</c:v>
                </c:pt>
                <c:pt idx="94">
                  <c:v>8.5339540515231516E-2</c:v>
                </c:pt>
                <c:pt idx="95">
                  <c:v>8.0978602633153818E-2</c:v>
                </c:pt>
                <c:pt idx="96">
                  <c:v>7.6637071763486109E-2</c:v>
                </c:pt>
                <c:pt idx="97">
                  <c:v>7.231484118727316E-2</c:v>
                </c:pt>
                <c:pt idx="98">
                  <c:v>6.8011804883040705E-2</c:v>
                </c:pt>
                <c:pt idx="99">
                  <c:v>6.372785752154142E-2</c:v>
                </c:pt>
                <c:pt idx="100">
                  <c:v>5.9462894460532434E-2</c:v>
                </c:pt>
                <c:pt idx="101">
                  <c:v>5.521681173961146E-2</c:v>
                </c:pt>
                <c:pt idx="102">
                  <c:v>5.0989506075082458E-2</c:v>
                </c:pt>
                <c:pt idx="103">
                  <c:v>4.6780874854878807E-2</c:v>
                </c:pt>
                <c:pt idx="104">
                  <c:v>4.2590816133517118E-2</c:v>
                </c:pt>
                <c:pt idx="105">
                  <c:v>3.8419228627104562E-2</c:v>
                </c:pt>
                <c:pt idx="106">
                  <c:v>3.4266011708378397E-2</c:v>
                </c:pt>
                <c:pt idx="107">
                  <c:v>3.0131065401798107E-2</c:v>
                </c:pt>
                <c:pt idx="108">
                  <c:v>2.6014290378668203E-2</c:v>
                </c:pt>
                <c:pt idx="109">
                  <c:v>2.1915587952313631E-2</c:v>
                </c:pt>
                <c:pt idx="110">
                  <c:v>1.7834860073282055E-2</c:v>
                </c:pt>
                <c:pt idx="111">
                  <c:v>1.3772009324603429E-2</c:v>
                </c:pt>
                <c:pt idx="112">
                  <c:v>9.7269389170717702E-3</c:v>
                </c:pt>
                <c:pt idx="113">
                  <c:v>5.6995526845839972E-3</c:v>
                </c:pt>
                <c:pt idx="114">
                  <c:v>1.6897550794998661E-3</c:v>
                </c:pt>
                <c:pt idx="115">
                  <c:v>-2.3025488319394771E-3</c:v>
                </c:pt>
                <c:pt idx="116">
                  <c:v>-6.2774533741745131E-3</c:v>
                </c:pt>
                <c:pt idx="117">
                  <c:v>-1.0235052266833744E-2</c:v>
                </c:pt>
                <c:pt idx="118">
                  <c:v>-1.4175438629216996E-2</c:v>
                </c:pt>
                <c:pt idx="119">
                  <c:v>-1.8098704984731651E-2</c:v>
                </c:pt>
                <c:pt idx="120">
                  <c:v>-2.2004943265296451E-2</c:v>
                </c:pt>
                <c:pt idx="121">
                  <c:v>-2.589424481570668E-2</c:v>
                </c:pt>
                <c:pt idx="122">
                  <c:v>-2.9766700397965362E-2</c:v>
                </c:pt>
                <c:pt idx="123">
                  <c:v>-3.3622400195571833E-2</c:v>
                </c:pt>
                <c:pt idx="124">
                  <c:v>-3.7461433817786327E-2</c:v>
                </c:pt>
                <c:pt idx="125">
                  <c:v>-4.1283890303844384E-2</c:v>
                </c:pt>
                <c:pt idx="126">
                  <c:v>-4.5089858127150606E-2</c:v>
                </c:pt>
                <c:pt idx="127">
                  <c:v>-4.8879425199425119E-2</c:v>
                </c:pt>
                <c:pt idx="128">
                  <c:v>-5.2652678874826053E-2</c:v>
                </c:pt>
                <c:pt idx="129">
                  <c:v>-5.6409705954028944E-2</c:v>
                </c:pt>
                <c:pt idx="130">
                  <c:v>-6.015059268828149E-2</c:v>
                </c:pt>
                <c:pt idx="131">
                  <c:v>-6.3875424783412571E-2</c:v>
                </c:pt>
                <c:pt idx="132">
                  <c:v>-6.7584287403824828E-2</c:v>
                </c:pt>
                <c:pt idx="133">
                  <c:v>-7.1277265176435289E-2</c:v>
                </c:pt>
                <c:pt idx="134">
                  <c:v>-7.4954442194600013E-2</c:v>
                </c:pt>
                <c:pt idx="135">
                  <c:v>-7.8615902021994977E-2</c:v>
                </c:pt>
                <c:pt idx="136">
                  <c:v>-8.2261727696474551E-2</c:v>
                </c:pt>
                <c:pt idx="137">
                  <c:v>-8.5892001733884449E-2</c:v>
                </c:pt>
                <c:pt idx="138">
                  <c:v>-8.9506806131862016E-2</c:v>
                </c:pt>
                <c:pt idx="139">
                  <c:v>-9.3106222373587455E-2</c:v>
                </c:pt>
                <c:pt idx="140">
                  <c:v>-9.6690331431517951E-2</c:v>
                </c:pt>
                <c:pt idx="141">
                  <c:v>-0.10025921377107894</c:v>
                </c:pt>
                <c:pt idx="142">
                  <c:v>-0.10381294935433893</c:v>
                </c:pt>
                <c:pt idx="143">
                  <c:v>-0.10735161764363932</c:v>
                </c:pt>
                <c:pt idx="144">
                  <c:v>-0.11087529760521009</c:v>
                </c:pt>
                <c:pt idx="145">
                  <c:v>-0.11438406771273923</c:v>
                </c:pt>
                <c:pt idx="146">
                  <c:v>-0.11787800595093056</c:v>
                </c:pt>
                <c:pt idx="147">
                  <c:v>-0.121357189819016</c:v>
                </c:pt>
                <c:pt idx="148">
                  <c:v>-0.12482169633425411</c:v>
                </c:pt>
                <c:pt idx="149">
                  <c:v>-0.12827160203538535</c:v>
                </c:pt>
                <c:pt idx="150">
                  <c:v>-0.13170698298607708</c:v>
                </c:pt>
              </c:numCache>
            </c:numRef>
          </c:val>
          <c:smooth val="0"/>
          <c:extLst>
            <c:ext xmlns:c16="http://schemas.microsoft.com/office/drawing/2014/chart" uri="{C3380CC4-5D6E-409C-BE32-E72D297353CC}">
              <c16:uniqueId val="{00000000-FA88-4282-AD32-8EB03E0D1A30}"/>
            </c:ext>
          </c:extLst>
        </c:ser>
        <c:ser>
          <c:idx val="1"/>
          <c:order val="1"/>
          <c:tx>
            <c:v>Project B</c:v>
          </c:tx>
          <c:spPr>
            <a:ln w="28575" cap="rnd">
              <a:solidFill>
                <a:schemeClr val="accent2"/>
              </a:solidFill>
              <a:round/>
            </a:ln>
            <a:effectLst/>
          </c:spPr>
          <c:marker>
            <c:symbol val="none"/>
          </c:marker>
          <c:cat>
            <c:numRef>
              <c:f>'Question 3'!$A$4:$A$154</c:f>
              <c:numCache>
                <c:formatCode>0.0%</c:formatCode>
                <c:ptCount val="151"/>
                <c:pt idx="0">
                  <c:v>0</c:v>
                </c:pt>
                <c:pt idx="1">
                  <c:v>1E-3</c:v>
                </c:pt>
                <c:pt idx="2">
                  <c:v>2E-3</c:v>
                </c:pt>
                <c:pt idx="3">
                  <c:v>3.0000000000000001E-3</c:v>
                </c:pt>
                <c:pt idx="4">
                  <c:v>4.0000000000000001E-3</c:v>
                </c:pt>
                <c:pt idx="5">
                  <c:v>5.0000000000000001E-3</c:v>
                </c:pt>
                <c:pt idx="6">
                  <c:v>6.0000000000000001E-3</c:v>
                </c:pt>
                <c:pt idx="7">
                  <c:v>7.0000000000000001E-3</c:v>
                </c:pt>
                <c:pt idx="8">
                  <c:v>8.0000000000000002E-3</c:v>
                </c:pt>
                <c:pt idx="9">
                  <c:v>9.0000000000000011E-3</c:v>
                </c:pt>
                <c:pt idx="10">
                  <c:v>1.0000000000000002E-2</c:v>
                </c:pt>
                <c:pt idx="11">
                  <c:v>1.1000000000000003E-2</c:v>
                </c:pt>
                <c:pt idx="12">
                  <c:v>1.2000000000000004E-2</c:v>
                </c:pt>
                <c:pt idx="13">
                  <c:v>1.3000000000000005E-2</c:v>
                </c:pt>
                <c:pt idx="14">
                  <c:v>1.4000000000000005E-2</c:v>
                </c:pt>
                <c:pt idx="15">
                  <c:v>1.5000000000000006E-2</c:v>
                </c:pt>
                <c:pt idx="16">
                  <c:v>1.6000000000000007E-2</c:v>
                </c:pt>
                <c:pt idx="17">
                  <c:v>1.7000000000000008E-2</c:v>
                </c:pt>
                <c:pt idx="18">
                  <c:v>1.8000000000000009E-2</c:v>
                </c:pt>
                <c:pt idx="19">
                  <c:v>1.900000000000001E-2</c:v>
                </c:pt>
                <c:pt idx="20">
                  <c:v>2.0000000000000011E-2</c:v>
                </c:pt>
                <c:pt idx="21">
                  <c:v>2.1000000000000012E-2</c:v>
                </c:pt>
                <c:pt idx="22">
                  <c:v>2.2000000000000013E-2</c:v>
                </c:pt>
                <c:pt idx="23">
                  <c:v>2.3000000000000013E-2</c:v>
                </c:pt>
                <c:pt idx="24">
                  <c:v>2.4000000000000014E-2</c:v>
                </c:pt>
                <c:pt idx="25">
                  <c:v>2.5000000000000015E-2</c:v>
                </c:pt>
                <c:pt idx="26">
                  <c:v>2.6000000000000016E-2</c:v>
                </c:pt>
                <c:pt idx="27">
                  <c:v>2.7000000000000017E-2</c:v>
                </c:pt>
                <c:pt idx="28">
                  <c:v>2.8000000000000018E-2</c:v>
                </c:pt>
                <c:pt idx="29">
                  <c:v>2.9000000000000019E-2</c:v>
                </c:pt>
                <c:pt idx="30">
                  <c:v>3.000000000000002E-2</c:v>
                </c:pt>
                <c:pt idx="31">
                  <c:v>3.1000000000000021E-2</c:v>
                </c:pt>
                <c:pt idx="32">
                  <c:v>3.2000000000000021E-2</c:v>
                </c:pt>
                <c:pt idx="33">
                  <c:v>3.3000000000000022E-2</c:v>
                </c:pt>
                <c:pt idx="34">
                  <c:v>3.4000000000000023E-2</c:v>
                </c:pt>
                <c:pt idx="35">
                  <c:v>3.5000000000000024E-2</c:v>
                </c:pt>
                <c:pt idx="36">
                  <c:v>3.6000000000000025E-2</c:v>
                </c:pt>
                <c:pt idx="37">
                  <c:v>3.7000000000000026E-2</c:v>
                </c:pt>
                <c:pt idx="38">
                  <c:v>3.8000000000000027E-2</c:v>
                </c:pt>
                <c:pt idx="39">
                  <c:v>3.9000000000000028E-2</c:v>
                </c:pt>
                <c:pt idx="40">
                  <c:v>4.0000000000000029E-2</c:v>
                </c:pt>
                <c:pt idx="41">
                  <c:v>4.1000000000000029E-2</c:v>
                </c:pt>
                <c:pt idx="42">
                  <c:v>4.200000000000003E-2</c:v>
                </c:pt>
                <c:pt idx="43">
                  <c:v>4.3000000000000031E-2</c:v>
                </c:pt>
                <c:pt idx="44">
                  <c:v>4.4000000000000032E-2</c:v>
                </c:pt>
                <c:pt idx="45">
                  <c:v>4.5000000000000033E-2</c:v>
                </c:pt>
                <c:pt idx="46">
                  <c:v>4.6000000000000034E-2</c:v>
                </c:pt>
                <c:pt idx="47">
                  <c:v>4.7000000000000035E-2</c:v>
                </c:pt>
                <c:pt idx="48">
                  <c:v>4.8000000000000036E-2</c:v>
                </c:pt>
                <c:pt idx="49">
                  <c:v>4.9000000000000037E-2</c:v>
                </c:pt>
                <c:pt idx="50">
                  <c:v>5.0000000000000037E-2</c:v>
                </c:pt>
                <c:pt idx="51">
                  <c:v>5.1000000000000038E-2</c:v>
                </c:pt>
                <c:pt idx="52">
                  <c:v>5.2000000000000039E-2</c:v>
                </c:pt>
                <c:pt idx="53">
                  <c:v>5.300000000000004E-2</c:v>
                </c:pt>
                <c:pt idx="54">
                  <c:v>5.4000000000000041E-2</c:v>
                </c:pt>
                <c:pt idx="55">
                  <c:v>5.5000000000000042E-2</c:v>
                </c:pt>
                <c:pt idx="56">
                  <c:v>5.6000000000000043E-2</c:v>
                </c:pt>
                <c:pt idx="57">
                  <c:v>5.7000000000000044E-2</c:v>
                </c:pt>
                <c:pt idx="58">
                  <c:v>5.8000000000000045E-2</c:v>
                </c:pt>
                <c:pt idx="59">
                  <c:v>5.9000000000000045E-2</c:v>
                </c:pt>
                <c:pt idx="60">
                  <c:v>6.0000000000000046E-2</c:v>
                </c:pt>
                <c:pt idx="61">
                  <c:v>6.1000000000000047E-2</c:v>
                </c:pt>
                <c:pt idx="62">
                  <c:v>6.2000000000000048E-2</c:v>
                </c:pt>
                <c:pt idx="63">
                  <c:v>6.3000000000000042E-2</c:v>
                </c:pt>
                <c:pt idx="64">
                  <c:v>6.4000000000000043E-2</c:v>
                </c:pt>
                <c:pt idx="65">
                  <c:v>6.5000000000000044E-2</c:v>
                </c:pt>
                <c:pt idx="66">
                  <c:v>6.6000000000000045E-2</c:v>
                </c:pt>
                <c:pt idx="67">
                  <c:v>6.7000000000000046E-2</c:v>
                </c:pt>
                <c:pt idx="68">
                  <c:v>6.8000000000000047E-2</c:v>
                </c:pt>
                <c:pt idx="69">
                  <c:v>6.9000000000000047E-2</c:v>
                </c:pt>
                <c:pt idx="70">
                  <c:v>7.0000000000000048E-2</c:v>
                </c:pt>
                <c:pt idx="71">
                  <c:v>7.1000000000000049E-2</c:v>
                </c:pt>
                <c:pt idx="72">
                  <c:v>7.200000000000005E-2</c:v>
                </c:pt>
                <c:pt idx="73">
                  <c:v>7.3000000000000051E-2</c:v>
                </c:pt>
                <c:pt idx="74">
                  <c:v>7.4000000000000052E-2</c:v>
                </c:pt>
                <c:pt idx="75">
                  <c:v>7.5000000000000053E-2</c:v>
                </c:pt>
                <c:pt idx="76">
                  <c:v>7.6000000000000054E-2</c:v>
                </c:pt>
                <c:pt idx="77">
                  <c:v>7.7000000000000055E-2</c:v>
                </c:pt>
                <c:pt idx="78">
                  <c:v>7.8000000000000055E-2</c:v>
                </c:pt>
                <c:pt idx="79">
                  <c:v>7.9000000000000056E-2</c:v>
                </c:pt>
                <c:pt idx="80">
                  <c:v>8.0000000000000057E-2</c:v>
                </c:pt>
                <c:pt idx="81">
                  <c:v>8.1000000000000058E-2</c:v>
                </c:pt>
                <c:pt idx="82">
                  <c:v>8.2000000000000059E-2</c:v>
                </c:pt>
                <c:pt idx="83">
                  <c:v>8.300000000000006E-2</c:v>
                </c:pt>
                <c:pt idx="84">
                  <c:v>8.4000000000000061E-2</c:v>
                </c:pt>
                <c:pt idx="85">
                  <c:v>8.5000000000000062E-2</c:v>
                </c:pt>
                <c:pt idx="86">
                  <c:v>8.6000000000000063E-2</c:v>
                </c:pt>
                <c:pt idx="87">
                  <c:v>8.7000000000000063E-2</c:v>
                </c:pt>
                <c:pt idx="88">
                  <c:v>8.8000000000000064E-2</c:v>
                </c:pt>
                <c:pt idx="89">
                  <c:v>8.9000000000000065E-2</c:v>
                </c:pt>
                <c:pt idx="90">
                  <c:v>9.0000000000000066E-2</c:v>
                </c:pt>
                <c:pt idx="91">
                  <c:v>9.1000000000000067E-2</c:v>
                </c:pt>
                <c:pt idx="92">
                  <c:v>9.2000000000000068E-2</c:v>
                </c:pt>
                <c:pt idx="93">
                  <c:v>9.3000000000000069E-2</c:v>
                </c:pt>
                <c:pt idx="94">
                  <c:v>9.400000000000007E-2</c:v>
                </c:pt>
                <c:pt idx="95">
                  <c:v>9.500000000000007E-2</c:v>
                </c:pt>
                <c:pt idx="96">
                  <c:v>9.6000000000000071E-2</c:v>
                </c:pt>
                <c:pt idx="97">
                  <c:v>9.7000000000000072E-2</c:v>
                </c:pt>
                <c:pt idx="98">
                  <c:v>9.8000000000000073E-2</c:v>
                </c:pt>
                <c:pt idx="99">
                  <c:v>9.9000000000000074E-2</c:v>
                </c:pt>
                <c:pt idx="100">
                  <c:v>0.10000000000000007</c:v>
                </c:pt>
                <c:pt idx="101">
                  <c:v>0.10100000000000008</c:v>
                </c:pt>
                <c:pt idx="102">
                  <c:v>0.10200000000000008</c:v>
                </c:pt>
                <c:pt idx="103">
                  <c:v>0.10300000000000008</c:v>
                </c:pt>
                <c:pt idx="104">
                  <c:v>0.10400000000000008</c:v>
                </c:pt>
                <c:pt idx="105">
                  <c:v>0.10500000000000008</c:v>
                </c:pt>
                <c:pt idx="106">
                  <c:v>0.10600000000000008</c:v>
                </c:pt>
                <c:pt idx="107">
                  <c:v>0.10700000000000008</c:v>
                </c:pt>
                <c:pt idx="108">
                  <c:v>0.10800000000000008</c:v>
                </c:pt>
                <c:pt idx="109">
                  <c:v>0.10900000000000008</c:v>
                </c:pt>
                <c:pt idx="110">
                  <c:v>0.11000000000000008</c:v>
                </c:pt>
                <c:pt idx="111">
                  <c:v>0.11100000000000008</c:v>
                </c:pt>
                <c:pt idx="112">
                  <c:v>0.11200000000000009</c:v>
                </c:pt>
                <c:pt idx="113">
                  <c:v>0.11300000000000009</c:v>
                </c:pt>
                <c:pt idx="114">
                  <c:v>0.11400000000000009</c:v>
                </c:pt>
                <c:pt idx="115">
                  <c:v>0.11500000000000009</c:v>
                </c:pt>
                <c:pt idx="116">
                  <c:v>0.11600000000000009</c:v>
                </c:pt>
                <c:pt idx="117">
                  <c:v>0.11700000000000009</c:v>
                </c:pt>
                <c:pt idx="118">
                  <c:v>0.11800000000000009</c:v>
                </c:pt>
                <c:pt idx="119">
                  <c:v>0.11900000000000009</c:v>
                </c:pt>
                <c:pt idx="120">
                  <c:v>0.12000000000000009</c:v>
                </c:pt>
                <c:pt idx="121">
                  <c:v>0.12100000000000009</c:v>
                </c:pt>
                <c:pt idx="122">
                  <c:v>0.12200000000000009</c:v>
                </c:pt>
                <c:pt idx="123">
                  <c:v>0.1230000000000001</c:v>
                </c:pt>
                <c:pt idx="124">
                  <c:v>0.1240000000000001</c:v>
                </c:pt>
                <c:pt idx="125">
                  <c:v>0.12500000000000008</c:v>
                </c:pt>
                <c:pt idx="126">
                  <c:v>0.12600000000000008</c:v>
                </c:pt>
                <c:pt idx="127">
                  <c:v>0.12700000000000009</c:v>
                </c:pt>
                <c:pt idx="128">
                  <c:v>0.12800000000000009</c:v>
                </c:pt>
                <c:pt idx="129">
                  <c:v>0.12900000000000009</c:v>
                </c:pt>
                <c:pt idx="130">
                  <c:v>0.13000000000000009</c:v>
                </c:pt>
                <c:pt idx="131">
                  <c:v>0.13100000000000009</c:v>
                </c:pt>
                <c:pt idx="132">
                  <c:v>0.13200000000000009</c:v>
                </c:pt>
                <c:pt idx="133">
                  <c:v>0.13300000000000009</c:v>
                </c:pt>
                <c:pt idx="134">
                  <c:v>0.13400000000000009</c:v>
                </c:pt>
                <c:pt idx="135">
                  <c:v>0.13500000000000009</c:v>
                </c:pt>
                <c:pt idx="136">
                  <c:v>0.13600000000000009</c:v>
                </c:pt>
                <c:pt idx="137">
                  <c:v>0.13700000000000009</c:v>
                </c:pt>
                <c:pt idx="138">
                  <c:v>0.13800000000000009</c:v>
                </c:pt>
                <c:pt idx="139">
                  <c:v>0.1390000000000001</c:v>
                </c:pt>
                <c:pt idx="140">
                  <c:v>0.1400000000000001</c:v>
                </c:pt>
                <c:pt idx="141">
                  <c:v>0.1410000000000001</c:v>
                </c:pt>
                <c:pt idx="142">
                  <c:v>0.1420000000000001</c:v>
                </c:pt>
                <c:pt idx="143">
                  <c:v>0.1430000000000001</c:v>
                </c:pt>
                <c:pt idx="144">
                  <c:v>0.1440000000000001</c:v>
                </c:pt>
                <c:pt idx="145">
                  <c:v>0.1450000000000001</c:v>
                </c:pt>
                <c:pt idx="146">
                  <c:v>0.1460000000000001</c:v>
                </c:pt>
                <c:pt idx="147">
                  <c:v>0.1470000000000001</c:v>
                </c:pt>
                <c:pt idx="148">
                  <c:v>0.1480000000000001</c:v>
                </c:pt>
                <c:pt idx="149">
                  <c:v>0.1490000000000001</c:v>
                </c:pt>
                <c:pt idx="150">
                  <c:v>0.15000000000000011</c:v>
                </c:pt>
              </c:numCache>
            </c:numRef>
          </c:cat>
          <c:val>
            <c:numRef>
              <c:f>'Question 3'!$C$4:$C$154</c:f>
              <c:numCache>
                <c:formatCode>0.0000</c:formatCode>
                <c:ptCount val="151"/>
                <c:pt idx="0">
                  <c:v>0.29999999999999993</c:v>
                </c:pt>
                <c:pt idx="1">
                  <c:v>0.29700686146155919</c:v>
                </c:pt>
                <c:pt idx="2">
                  <c:v>0.29402739188430949</c:v>
                </c:pt>
                <c:pt idx="3">
                  <c:v>0.29106151075487913</c:v>
                </c:pt>
                <c:pt idx="4">
                  <c:v>0.28810913812883082</c:v>
                </c:pt>
                <c:pt idx="5">
                  <c:v>0.28517019462601678</c:v>
                </c:pt>
                <c:pt idx="6">
                  <c:v>0.28224460142596541</c:v>
                </c:pt>
                <c:pt idx="7">
                  <c:v>0.2793322802633218</c:v>
                </c:pt>
                <c:pt idx="8">
                  <c:v>0.27643315342331842</c:v>
                </c:pt>
                <c:pt idx="9">
                  <c:v>0.27354714373729971</c:v>
                </c:pt>
                <c:pt idx="10">
                  <c:v>0.27067417457827642</c:v>
                </c:pt>
                <c:pt idx="11">
                  <c:v>0.26781416985653134</c:v>
                </c:pt>
                <c:pt idx="12">
                  <c:v>0.26496705401525533</c:v>
                </c:pt>
                <c:pt idx="13">
                  <c:v>0.26213275202623332</c:v>
                </c:pt>
                <c:pt idx="14">
                  <c:v>0.25931118938555986</c:v>
                </c:pt>
                <c:pt idx="15">
                  <c:v>0.25650229210940456</c:v>
                </c:pt>
                <c:pt idx="16">
                  <c:v>0.2537059867298046</c:v>
                </c:pt>
                <c:pt idx="17">
                  <c:v>0.25092220029050788</c:v>
                </c:pt>
                <c:pt idx="18">
                  <c:v>0.24815086034284212</c:v>
                </c:pt>
                <c:pt idx="19">
                  <c:v>0.24539189494163322</c:v>
                </c:pt>
                <c:pt idx="20">
                  <c:v>0.24264523264114984</c:v>
                </c:pt>
                <c:pt idx="21">
                  <c:v>0.23991080249109453</c:v>
                </c:pt>
                <c:pt idx="22">
                  <c:v>0.23718853403262305</c:v>
                </c:pt>
                <c:pt idx="23">
                  <c:v>0.23447835729440791</c:v>
                </c:pt>
                <c:pt idx="24">
                  <c:v>0.23178020278872857</c:v>
                </c:pt>
                <c:pt idx="25">
                  <c:v>0.229094001507607</c:v>
                </c:pt>
                <c:pt idx="26">
                  <c:v>0.22641968491896841</c:v>
                </c:pt>
                <c:pt idx="27">
                  <c:v>0.22375718496284569</c:v>
                </c:pt>
                <c:pt idx="28">
                  <c:v>0.2211064340476096</c:v>
                </c:pt>
                <c:pt idx="29">
                  <c:v>0.21846736504624187</c:v>
                </c:pt>
                <c:pt idx="30">
                  <c:v>0.21583991129263264</c:v>
                </c:pt>
                <c:pt idx="31">
                  <c:v>0.2132240065779207</c:v>
                </c:pt>
                <c:pt idx="32">
                  <c:v>0.2106195851468563</c:v>
                </c:pt>
                <c:pt idx="33">
                  <c:v>0.20802658169420832</c:v>
                </c:pt>
                <c:pt idx="34">
                  <c:v>0.20544493136119224</c:v>
                </c:pt>
                <c:pt idx="35">
                  <c:v>0.20287456973193921</c:v>
                </c:pt>
                <c:pt idx="36">
                  <c:v>0.20031543282999043</c:v>
                </c:pt>
                <c:pt idx="37">
                  <c:v>0.19776745711482807</c:v>
                </c:pt>
                <c:pt idx="38">
                  <c:v>0.19523057947843125</c:v>
                </c:pt>
                <c:pt idx="39">
                  <c:v>0.19270473724187098</c:v>
                </c:pt>
                <c:pt idx="40">
                  <c:v>0.19018986815192507</c:v>
                </c:pt>
                <c:pt idx="41">
                  <c:v>0.18768591037773405</c:v>
                </c:pt>
                <c:pt idx="42">
                  <c:v>0.18519280250747736</c:v>
                </c:pt>
                <c:pt idx="43">
                  <c:v>0.18271048354508723</c:v>
                </c:pt>
                <c:pt idx="44">
                  <c:v>0.18023889290698386</c:v>
                </c:pt>
                <c:pt idx="45">
                  <c:v>0.17777797041884846</c:v>
                </c:pt>
                <c:pt idx="46">
                  <c:v>0.1753276563124147</c:v>
                </c:pt>
                <c:pt idx="47">
                  <c:v>0.17288789122229958</c:v>
                </c:pt>
                <c:pt idx="48">
                  <c:v>0.17045861618285121</c:v>
                </c:pt>
                <c:pt idx="49">
                  <c:v>0.16803977262503544</c:v>
                </c:pt>
                <c:pt idx="50">
                  <c:v>0.16563130237333945</c:v>
                </c:pt>
                <c:pt idx="51">
                  <c:v>0.16323314764271288</c:v>
                </c:pt>
                <c:pt idx="52">
                  <c:v>0.16084525103552516</c:v>
                </c:pt>
                <c:pt idx="53">
                  <c:v>0.15846755553856123</c:v>
                </c:pt>
                <c:pt idx="54">
                  <c:v>0.15610000452003248</c:v>
                </c:pt>
                <c:pt idx="55">
                  <c:v>0.15374254172662372</c:v>
                </c:pt>
                <c:pt idx="56">
                  <c:v>0.15139511128055683</c:v>
                </c:pt>
                <c:pt idx="57">
                  <c:v>0.14905765767669005</c:v>
                </c:pt>
                <c:pt idx="58">
                  <c:v>0.1467301257796336</c:v>
                </c:pt>
                <c:pt idx="59">
                  <c:v>0.1444124608208964</c:v>
                </c:pt>
                <c:pt idx="60">
                  <c:v>0.14210460839605482</c:v>
                </c:pt>
                <c:pt idx="61">
                  <c:v>0.13980651446194894</c:v>
                </c:pt>
                <c:pt idx="62">
                  <c:v>0.13751812533389818</c:v>
                </c:pt>
                <c:pt idx="63">
                  <c:v>0.13523938768294919</c:v>
                </c:pt>
                <c:pt idx="64">
                  <c:v>0.13297024853313771</c:v>
                </c:pt>
                <c:pt idx="65">
                  <c:v>0.1307106552587852</c:v>
                </c:pt>
                <c:pt idx="66">
                  <c:v>0.12846055558180755</c:v>
                </c:pt>
                <c:pt idx="67">
                  <c:v>0.12621989756905894</c:v>
                </c:pt>
                <c:pt idx="68">
                  <c:v>0.12398862962968692</c:v>
                </c:pt>
                <c:pt idx="69">
                  <c:v>0.12176670051252141</c:v>
                </c:pt>
                <c:pt idx="70">
                  <c:v>0.11955405930347657</c:v>
                </c:pt>
                <c:pt idx="71">
                  <c:v>0.11735065542298435</c:v>
                </c:pt>
                <c:pt idx="72">
                  <c:v>0.1151564386234407</c:v>
                </c:pt>
                <c:pt idx="73">
                  <c:v>0.11297135898668353</c:v>
                </c:pt>
                <c:pt idx="74">
                  <c:v>0.11079536692148276</c:v>
                </c:pt>
                <c:pt idx="75">
                  <c:v>0.10862841316106144</c:v>
                </c:pt>
                <c:pt idx="76">
                  <c:v>0.10647044876062942</c:v>
                </c:pt>
                <c:pt idx="77">
                  <c:v>0.10432142509494619</c:v>
                </c:pt>
                <c:pt idx="78">
                  <c:v>0.10218129385589689</c:v>
                </c:pt>
                <c:pt idx="79">
                  <c:v>0.10005000705009696</c:v>
                </c:pt>
                <c:pt idx="80">
                  <c:v>9.7927516996510394E-2</c:v>
                </c:pt>
                <c:pt idx="81">
                  <c:v>9.5813776324093242E-2</c:v>
                </c:pt>
                <c:pt idx="82">
                  <c:v>9.3708737969453657E-2</c:v>
                </c:pt>
                <c:pt idx="83">
                  <c:v>9.1612355174536364E-2</c:v>
                </c:pt>
                <c:pt idx="84">
                  <c:v>8.9524581484321075E-2</c:v>
                </c:pt>
                <c:pt idx="85">
                  <c:v>8.7445370744546835E-2</c:v>
                </c:pt>
                <c:pt idx="86">
                  <c:v>8.5374677099449472E-2</c:v>
                </c:pt>
                <c:pt idx="87">
                  <c:v>8.3312454989524928E-2</c:v>
                </c:pt>
                <c:pt idx="88">
                  <c:v>8.1258659149304163E-2</c:v>
                </c:pt>
                <c:pt idx="89">
                  <c:v>7.92132446051554E-2</c:v>
                </c:pt>
                <c:pt idx="90">
                  <c:v>7.7176166673095847E-2</c:v>
                </c:pt>
                <c:pt idx="91">
                  <c:v>7.5147380956631302E-2</c:v>
                </c:pt>
                <c:pt idx="92">
                  <c:v>7.3126843344605091E-2</c:v>
                </c:pt>
                <c:pt idx="93">
                  <c:v>7.111451000907397E-2</c:v>
                </c:pt>
                <c:pt idx="94">
                  <c:v>6.9110337403192681E-2</c:v>
                </c:pt>
                <c:pt idx="95">
                  <c:v>6.7114282259126218E-2</c:v>
                </c:pt>
                <c:pt idx="96">
                  <c:v>6.5126301585970173E-2</c:v>
                </c:pt>
                <c:pt idx="97">
                  <c:v>6.3146352667697678E-2</c:v>
                </c:pt>
                <c:pt idx="98">
                  <c:v>6.1174393061114676E-2</c:v>
                </c:pt>
                <c:pt idx="99">
                  <c:v>5.9210380593840845E-2</c:v>
                </c:pt>
                <c:pt idx="100">
                  <c:v>5.7254273362300281E-2</c:v>
                </c:pt>
                <c:pt idx="101">
                  <c:v>5.530602972973471E-2</c:v>
                </c:pt>
                <c:pt idx="102">
                  <c:v>5.3365608324229097E-2</c:v>
                </c:pt>
                <c:pt idx="103">
                  <c:v>5.1432968036757246E-2</c:v>
                </c:pt>
                <c:pt idx="104">
                  <c:v>4.9508068019240285E-2</c:v>
                </c:pt>
                <c:pt idx="105">
                  <c:v>4.7590867682625881E-2</c:v>
                </c:pt>
                <c:pt idx="106">
                  <c:v>4.5681326694977369E-2</c:v>
                </c:pt>
                <c:pt idx="107">
                  <c:v>4.3779404979586128E-2</c:v>
                </c:pt>
                <c:pt idx="108">
                  <c:v>4.1885062713092738E-2</c:v>
                </c:pt>
                <c:pt idx="109">
                  <c:v>3.9998260323629166E-2</c:v>
                </c:pt>
                <c:pt idx="110">
                  <c:v>3.8118958488972302E-2</c:v>
                </c:pt>
                <c:pt idx="111">
                  <c:v>3.6247118134717239E-2</c:v>
                </c:pt>
                <c:pt idx="112">
                  <c:v>3.4382700432459973E-2</c:v>
                </c:pt>
                <c:pt idx="113">
                  <c:v>3.2525666798001979E-2</c:v>
                </c:pt>
                <c:pt idx="114">
                  <c:v>3.0675978889562819E-2</c:v>
                </c:pt>
                <c:pt idx="115">
                  <c:v>2.8833598606014268E-2</c:v>
                </c:pt>
                <c:pt idx="116">
                  <c:v>2.699848808512173E-2</c:v>
                </c:pt>
                <c:pt idx="117">
                  <c:v>2.5170609701808747E-2</c:v>
                </c:pt>
                <c:pt idx="118">
                  <c:v>2.3349926066426378E-2</c:v>
                </c:pt>
                <c:pt idx="119">
                  <c:v>2.1536400023046055E-2</c:v>
                </c:pt>
                <c:pt idx="120">
                  <c:v>1.9729994647758389E-2</c:v>
                </c:pt>
                <c:pt idx="121">
                  <c:v>1.7930673246993427E-2</c:v>
                </c:pt>
                <c:pt idx="122">
                  <c:v>1.6138399355847557E-2</c:v>
                </c:pt>
                <c:pt idx="123">
                  <c:v>1.4353136736430676E-2</c:v>
                </c:pt>
                <c:pt idx="124">
                  <c:v>1.2574849376220859E-2</c:v>
                </c:pt>
                <c:pt idx="125">
                  <c:v>1.0803501486439562E-2</c:v>
                </c:pt>
                <c:pt idx="126">
                  <c:v>9.0390575004316923E-3</c:v>
                </c:pt>
                <c:pt idx="127">
                  <c:v>7.2814820720672191E-3</c:v>
                </c:pt>
                <c:pt idx="128">
                  <c:v>5.530740074149304E-3</c:v>
                </c:pt>
                <c:pt idx="129">
                  <c:v>3.7867965968403708E-3</c:v>
                </c:pt>
                <c:pt idx="130">
                  <c:v>2.0496169460964553E-3</c:v>
                </c:pt>
                <c:pt idx="131">
                  <c:v>3.1916664212056078E-4</c:v>
                </c:pt>
                <c:pt idx="132">
                  <c:v>-1.4045885821809059E-3</c:v>
                </c:pt>
                <c:pt idx="133">
                  <c:v>-3.1216827827169058E-3</c:v>
                </c:pt>
                <c:pt idx="134">
                  <c:v>-4.8321498057309065E-3</c:v>
                </c:pt>
                <c:pt idx="135">
                  <c:v>-6.5360232892962278E-3</c:v>
                </c:pt>
                <c:pt idx="136">
                  <c:v>-8.2333366648088407E-3</c:v>
                </c:pt>
                <c:pt idx="137">
                  <c:v>-9.9241231584598702E-3</c:v>
                </c:pt>
                <c:pt idx="138">
                  <c:v>-1.1608415792703705E-2</c:v>
                </c:pt>
                <c:pt idx="139">
                  <c:v>-1.3286247387707284E-2</c:v>
                </c:pt>
                <c:pt idx="140">
                  <c:v>-1.4957650562793606E-2</c:v>
                </c:pt>
                <c:pt idx="141">
                  <c:v>-1.6622657737868349E-2</c:v>
                </c:pt>
                <c:pt idx="142">
                  <c:v>-1.8281301134840021E-2</c:v>
                </c:pt>
                <c:pt idx="143">
                  <c:v>-1.9933612779024043E-2</c:v>
                </c:pt>
                <c:pt idx="144">
                  <c:v>-2.1579624500539157E-2</c:v>
                </c:pt>
                <c:pt idx="145">
                  <c:v>-2.3219367935689871E-2</c:v>
                </c:pt>
                <c:pt idx="146">
                  <c:v>-2.485287452834016E-2</c:v>
                </c:pt>
                <c:pt idx="147">
                  <c:v>-2.6480175531273395E-2</c:v>
                </c:pt>
                <c:pt idx="148">
                  <c:v>-2.8101302007544765E-2</c:v>
                </c:pt>
                <c:pt idx="149">
                  <c:v>-2.9716284831818825E-2</c:v>
                </c:pt>
                <c:pt idx="150">
                  <c:v>-3.132515469170135E-2</c:v>
                </c:pt>
              </c:numCache>
            </c:numRef>
          </c:val>
          <c:smooth val="0"/>
          <c:extLst>
            <c:ext xmlns:c16="http://schemas.microsoft.com/office/drawing/2014/chart" uri="{C3380CC4-5D6E-409C-BE32-E72D297353CC}">
              <c16:uniqueId val="{00000001-FA88-4282-AD32-8EB03E0D1A30}"/>
            </c:ext>
          </c:extLst>
        </c:ser>
        <c:dLbls>
          <c:showLegendKey val="0"/>
          <c:showVal val="0"/>
          <c:showCatName val="0"/>
          <c:showSerName val="0"/>
          <c:showPercent val="0"/>
          <c:showBubbleSize val="0"/>
        </c:dLbls>
        <c:smooth val="0"/>
        <c:axId val="1569691568"/>
        <c:axId val="1569697392"/>
      </c:lineChart>
      <c:catAx>
        <c:axId val="15696915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IN"/>
                  <a:t>Interest</a:t>
                </a:r>
                <a:r>
                  <a:rPr lang="en-IN" baseline="0"/>
                  <a:t> Rate</a:t>
                </a:r>
              </a:p>
            </c:rich>
          </c:tx>
          <c:layout>
            <c:manualLayout>
              <c:xMode val="edge"/>
              <c:yMode val="edge"/>
              <c:x val="0.48924190726159228"/>
              <c:y val="0.8177253452949643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9697392"/>
        <c:crosses val="autoZero"/>
        <c:auto val="1"/>
        <c:lblAlgn val="ctr"/>
        <c:lblOffset val="100"/>
        <c:noMultiLvlLbl val="0"/>
      </c:catAx>
      <c:valAx>
        <c:axId val="15696973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IN"/>
                  <a:t>NPV</a:t>
                </a:r>
                <a:r>
                  <a:rPr lang="en-IN" baseline="0"/>
                  <a:t> (in millions)</a:t>
                </a:r>
                <a:endParaRPr lang="en-IN"/>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9691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609599</xdr:colOff>
      <xdr:row>2</xdr:row>
      <xdr:rowOff>4761</xdr:rowOff>
    </xdr:from>
    <xdr:to>
      <xdr:col>12</xdr:col>
      <xdr:colOff>9525</xdr:colOff>
      <xdr:row>14</xdr:row>
      <xdr:rowOff>9524</xdr:rowOff>
    </xdr:to>
    <xdr:graphicFrame macro="">
      <xdr:nvGraphicFramePr>
        <xdr:cNvPr id="3" name="Chart 2">
          <a:extLst>
            <a:ext uri="{FF2B5EF4-FFF2-40B4-BE49-F238E27FC236}">
              <a16:creationId xmlns:a16="http://schemas.microsoft.com/office/drawing/2014/main" id="{AE86C9DC-4817-490C-9980-525FB75451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591CE6-B4CB-4610-9544-02DA30530ADA}">
  <dimension ref="A1:AA26"/>
  <sheetViews>
    <sheetView topLeftCell="A8" workbookViewId="0">
      <selection activeCell="A20" sqref="A20"/>
    </sheetView>
  </sheetViews>
  <sheetFormatPr defaultRowHeight="15" x14ac:dyDescent="0.25"/>
  <cols>
    <col min="1" max="1" width="22.85546875" customWidth="1"/>
    <col min="7" max="7" width="13" customWidth="1"/>
  </cols>
  <sheetData>
    <row r="1" spans="1:27" x14ac:dyDescent="0.25">
      <c r="A1" t="s">
        <v>1</v>
      </c>
      <c r="B1" s="1">
        <v>7.1999999999999995E-2</v>
      </c>
      <c r="O1" t="s">
        <v>1</v>
      </c>
      <c r="P1" s="1">
        <v>0.14253516766556454</v>
      </c>
    </row>
    <row r="2" spans="1:27" x14ac:dyDescent="0.25">
      <c r="A2" t="s">
        <v>2</v>
      </c>
      <c r="B2" s="2">
        <v>0.04</v>
      </c>
      <c r="O2" t="s">
        <v>2</v>
      </c>
      <c r="P2" s="2">
        <v>0.04</v>
      </c>
    </row>
    <row r="4" spans="1:27" x14ac:dyDescent="0.25">
      <c r="A4" t="s">
        <v>3</v>
      </c>
      <c r="B4" s="3">
        <f>(1-(1+B1)^(-1))/LN(1+B1)</f>
        <v>0.96602880338457053</v>
      </c>
      <c r="O4" t="s">
        <v>3</v>
      </c>
      <c r="P4" s="3">
        <f>(1-(1+P1)^(-1))/LN(1+P1)</f>
        <v>0.93623842178063854</v>
      </c>
    </row>
    <row r="6" spans="1:27" x14ac:dyDescent="0.25">
      <c r="A6" s="4" t="s">
        <v>4</v>
      </c>
      <c r="B6" s="5"/>
      <c r="F6" s="11" t="s">
        <v>9</v>
      </c>
      <c r="G6" s="5"/>
      <c r="O6" s="4" t="s">
        <v>4</v>
      </c>
      <c r="P6" s="5"/>
      <c r="T6" s="11" t="s">
        <v>9</v>
      </c>
      <c r="U6" s="5"/>
    </row>
    <row r="7" spans="1:27" ht="30" customHeight="1" x14ac:dyDescent="0.25">
      <c r="A7" s="6" t="s">
        <v>5</v>
      </c>
      <c r="B7" s="6" t="s">
        <v>6</v>
      </c>
      <c r="C7" s="6" t="s">
        <v>7</v>
      </c>
      <c r="D7" s="6" t="s">
        <v>8</v>
      </c>
      <c r="F7" s="6" t="s">
        <v>10</v>
      </c>
      <c r="G7" s="6" t="s">
        <v>11</v>
      </c>
      <c r="H7" s="6" t="s">
        <v>17</v>
      </c>
      <c r="I7" s="6" t="s">
        <v>12</v>
      </c>
      <c r="J7" s="6" t="s">
        <v>13</v>
      </c>
      <c r="K7" s="6" t="s">
        <v>14</v>
      </c>
      <c r="L7" s="6" t="s">
        <v>15</v>
      </c>
      <c r="M7" s="6" t="s">
        <v>16</v>
      </c>
      <c r="O7" s="6" t="s">
        <v>5</v>
      </c>
      <c r="P7" s="6" t="s">
        <v>6</v>
      </c>
      <c r="Q7" s="6" t="s">
        <v>7</v>
      </c>
      <c r="R7" s="6" t="s">
        <v>8</v>
      </c>
      <c r="T7" s="6" t="s">
        <v>10</v>
      </c>
      <c r="U7" s="6" t="s">
        <v>11</v>
      </c>
      <c r="V7" s="6" t="s">
        <v>17</v>
      </c>
      <c r="W7" s="6" t="s">
        <v>12</v>
      </c>
      <c r="X7" s="6" t="s">
        <v>13</v>
      </c>
      <c r="Y7" s="6" t="s">
        <v>14</v>
      </c>
      <c r="Z7" s="6" t="s">
        <v>15</v>
      </c>
      <c r="AA7" s="6" t="s">
        <v>16</v>
      </c>
    </row>
    <row r="8" spans="1:27" x14ac:dyDescent="0.25">
      <c r="A8" s="7">
        <v>0</v>
      </c>
      <c r="B8" s="17">
        <v>20000</v>
      </c>
      <c r="C8" s="13">
        <f>(1+$B$1)^(-A8)</f>
        <v>1</v>
      </c>
      <c r="D8" s="14">
        <f>B8*C8</f>
        <v>20000</v>
      </c>
      <c r="F8" s="12">
        <v>1</v>
      </c>
      <c r="G8" s="12">
        <f>F8-1</f>
        <v>0</v>
      </c>
      <c r="H8" s="14">
        <v>0</v>
      </c>
      <c r="I8" s="14">
        <f>H8*$B$4</f>
        <v>0</v>
      </c>
      <c r="J8" s="13">
        <f>(1+$B$1)^(-G8)</f>
        <v>1</v>
      </c>
      <c r="K8" s="14">
        <f>I8*J8</f>
        <v>0</v>
      </c>
      <c r="L8" s="15"/>
      <c r="M8" s="15"/>
      <c r="O8" s="7">
        <v>0</v>
      </c>
      <c r="P8" s="17">
        <v>20000</v>
      </c>
      <c r="Q8" s="13">
        <f>(1+$P$1)^(-O8)</f>
        <v>1</v>
      </c>
      <c r="R8" s="14">
        <f>P8*Q8</f>
        <v>20000</v>
      </c>
      <c r="T8" s="12">
        <v>1</v>
      </c>
      <c r="U8" s="12">
        <f>T8-1</f>
        <v>0</v>
      </c>
      <c r="V8" s="14">
        <v>0</v>
      </c>
      <c r="W8" s="14">
        <f>V8*$P$4</f>
        <v>0</v>
      </c>
      <c r="X8" s="13">
        <f>(1+$P$1)^(-U8)</f>
        <v>1</v>
      </c>
      <c r="Y8" s="14">
        <f>W8*X8</f>
        <v>0</v>
      </c>
      <c r="Z8" s="15"/>
      <c r="AA8" s="15"/>
    </row>
    <row r="9" spans="1:27" x14ac:dyDescent="0.25">
      <c r="A9" s="7">
        <f>A8+1/12</f>
        <v>8.3333333333333329E-2</v>
      </c>
      <c r="B9" s="17">
        <v>3000</v>
      </c>
      <c r="C9" s="13">
        <f t="shared" ref="C9:C20" si="0">(1+$B$1)^(-A9)</f>
        <v>0.99422291336030078</v>
      </c>
      <c r="D9" s="14">
        <f t="shared" ref="D9:D20" si="1">B9*C9</f>
        <v>2982.6687400809024</v>
      </c>
      <c r="F9" s="12">
        <f>F8+1</f>
        <v>2</v>
      </c>
      <c r="G9" s="12">
        <f t="shared" ref="G9:G17" si="2">F9-1</f>
        <v>1</v>
      </c>
      <c r="H9" s="14">
        <v>9000</v>
      </c>
      <c r="I9" s="14">
        <f t="shared" ref="I9:I17" si="3">H9*$B$4</f>
        <v>8694.2592304611353</v>
      </c>
      <c r="J9" s="13">
        <f t="shared" ref="J9:J17" si="4">(1+$B$1)^(-G9)</f>
        <v>0.93283582089552231</v>
      </c>
      <c r="K9" s="14">
        <f t="shared" ref="K9:K17" si="5">I9*J9</f>
        <v>8110.3164463256853</v>
      </c>
      <c r="L9" s="15"/>
      <c r="M9" s="15"/>
      <c r="O9" s="7">
        <f>O8+1/12</f>
        <v>8.3333333333333329E-2</v>
      </c>
      <c r="P9" s="17">
        <v>3000</v>
      </c>
      <c r="Q9" s="13">
        <f t="shared" ref="Q9:Q20" si="6">(1+$P$1)^(-O9)</f>
        <v>0.98895728796346949</v>
      </c>
      <c r="R9" s="14">
        <f t="shared" ref="R9:R20" si="7">P9*Q9</f>
        <v>2966.8718638904083</v>
      </c>
      <c r="T9" s="12">
        <f>T8+1</f>
        <v>2</v>
      </c>
      <c r="U9" s="12">
        <f t="shared" ref="U9:U17" si="8">T9-1</f>
        <v>1</v>
      </c>
      <c r="V9" s="14">
        <v>9000</v>
      </c>
      <c r="W9" s="14">
        <f t="shared" ref="W9:W17" si="9">V9*$P$4</f>
        <v>8426.1457960257467</v>
      </c>
      <c r="X9" s="13">
        <f t="shared" ref="X9:X17" si="10">(1+$P$1)^(-U9)</f>
        <v>0.8752465817251005</v>
      </c>
      <c r="Y9" s="14">
        <f t="shared" ref="Y9:Y17" si="11">W9*X9</f>
        <v>7374.9553050888608</v>
      </c>
      <c r="Z9" s="15"/>
      <c r="AA9" s="15"/>
    </row>
    <row r="10" spans="1:27" x14ac:dyDescent="0.25">
      <c r="A10" s="7">
        <f t="shared" ref="A10:A20" si="12">A9+1/12</f>
        <v>0.16666666666666666</v>
      </c>
      <c r="B10" s="17">
        <f>B9</f>
        <v>3000</v>
      </c>
      <c r="C10" s="13">
        <f t="shared" si="0"/>
        <v>0.98847920145064416</v>
      </c>
      <c r="D10" s="14">
        <f t="shared" si="1"/>
        <v>2965.4376043519324</v>
      </c>
      <c r="F10" s="12">
        <f t="shared" ref="F10:F17" si="13">F9+1</f>
        <v>3</v>
      </c>
      <c r="G10" s="12">
        <f t="shared" si="2"/>
        <v>2</v>
      </c>
      <c r="H10" s="14">
        <f>H9*(1+$B$2)</f>
        <v>9360</v>
      </c>
      <c r="I10" s="14">
        <f t="shared" si="3"/>
        <v>9042.0295996795794</v>
      </c>
      <c r="J10" s="13">
        <f t="shared" si="4"/>
        <v>0.87018266874582295</v>
      </c>
      <c r="K10" s="14">
        <f t="shared" si="5"/>
        <v>7868.217447927902</v>
      </c>
      <c r="L10" s="15"/>
      <c r="M10" s="15"/>
      <c r="O10" s="7">
        <f t="shared" ref="O10:O20" si="14">O9+1/12</f>
        <v>0.16666666666666666</v>
      </c>
      <c r="P10" s="17">
        <f>P9</f>
        <v>3000</v>
      </c>
      <c r="Q10" s="13">
        <f t="shared" si="6"/>
        <v>0.9780365174160609</v>
      </c>
      <c r="R10" s="14">
        <f t="shared" si="7"/>
        <v>2934.1095522481828</v>
      </c>
      <c r="T10" s="12">
        <f t="shared" ref="T10:T17" si="15">T9+1</f>
        <v>3</v>
      </c>
      <c r="U10" s="12">
        <f t="shared" si="8"/>
        <v>2</v>
      </c>
      <c r="V10" s="14">
        <f>V9*(1+$P$2)</f>
        <v>9360</v>
      </c>
      <c r="W10" s="14">
        <f t="shared" si="9"/>
        <v>8763.1916278667759</v>
      </c>
      <c r="X10" s="13">
        <f t="shared" si="10"/>
        <v>0.76605657882147304</v>
      </c>
      <c r="Y10" s="14">
        <f t="shared" si="11"/>
        <v>6713.1005980005975</v>
      </c>
      <c r="Z10" s="15"/>
      <c r="AA10" s="15"/>
    </row>
    <row r="11" spans="1:27" x14ac:dyDescent="0.25">
      <c r="A11" s="7">
        <f t="shared" si="12"/>
        <v>0.25</v>
      </c>
      <c r="B11" s="17">
        <f t="shared" ref="B11:B20" si="16">B10</f>
        <v>3000</v>
      </c>
      <c r="C11" s="13">
        <f t="shared" si="0"/>
        <v>0.98276867146232305</v>
      </c>
      <c r="D11" s="14">
        <f t="shared" si="1"/>
        <v>2948.3060143869693</v>
      </c>
      <c r="F11" s="12">
        <f t="shared" si="13"/>
        <v>4</v>
      </c>
      <c r="G11" s="12">
        <f t="shared" si="2"/>
        <v>3</v>
      </c>
      <c r="H11" s="14">
        <f t="shared" ref="H11:H17" si="17">H10*(1+$B$2)</f>
        <v>9734.4</v>
      </c>
      <c r="I11" s="14">
        <f t="shared" si="3"/>
        <v>9403.7107836667637</v>
      </c>
      <c r="J11" s="13">
        <f t="shared" si="4"/>
        <v>0.81173756412856624</v>
      </c>
      <c r="K11" s="14">
        <f t="shared" si="5"/>
        <v>7633.3452853031895</v>
      </c>
      <c r="L11" s="15"/>
      <c r="M11" s="15"/>
      <c r="O11" s="7">
        <f t="shared" si="14"/>
        <v>0.25</v>
      </c>
      <c r="P11" s="17">
        <f t="shared" ref="P11:P20" si="18">P10</f>
        <v>3000</v>
      </c>
      <c r="Q11" s="13">
        <f t="shared" si="6"/>
        <v>0.96723634179302409</v>
      </c>
      <c r="R11" s="14">
        <f t="shared" si="7"/>
        <v>2901.709025379072</v>
      </c>
      <c r="T11" s="12">
        <f t="shared" si="15"/>
        <v>4</v>
      </c>
      <c r="U11" s="12">
        <f t="shared" si="8"/>
        <v>3</v>
      </c>
      <c r="V11" s="14">
        <f t="shared" ref="V11:V17" si="19">V10*(1+$P$2)</f>
        <v>9734.4</v>
      </c>
      <c r="W11" s="14">
        <f t="shared" si="9"/>
        <v>9113.7192929814482</v>
      </c>
      <c r="X11" s="13">
        <f t="shared" si="10"/>
        <v>0.67048840202151927</v>
      </c>
      <c r="Y11" s="14">
        <f t="shared" si="11"/>
        <v>6110.6430852238218</v>
      </c>
      <c r="Z11" s="15"/>
      <c r="AA11" s="15"/>
    </row>
    <row r="12" spans="1:27" x14ac:dyDescent="0.25">
      <c r="A12" s="7">
        <f t="shared" si="12"/>
        <v>0.33333333333333331</v>
      </c>
      <c r="B12" s="17">
        <f t="shared" si="16"/>
        <v>3000</v>
      </c>
      <c r="C12" s="13">
        <f t="shared" si="0"/>
        <v>0.97709113170050332</v>
      </c>
      <c r="D12" s="14">
        <f t="shared" si="1"/>
        <v>2931.2733951015098</v>
      </c>
      <c r="F12" s="12">
        <f t="shared" si="13"/>
        <v>5</v>
      </c>
      <c r="G12" s="12">
        <f t="shared" si="2"/>
        <v>4</v>
      </c>
      <c r="H12" s="14">
        <f t="shared" si="17"/>
        <v>10123.776</v>
      </c>
      <c r="I12" s="14">
        <f t="shared" si="3"/>
        <v>9779.8592150134336</v>
      </c>
      <c r="J12" s="13">
        <f t="shared" si="4"/>
        <v>0.75721787698560261</v>
      </c>
      <c r="K12" s="14">
        <f t="shared" si="5"/>
        <v>7405.4842320105545</v>
      </c>
      <c r="L12" s="15"/>
      <c r="M12" s="15"/>
      <c r="O12" s="7">
        <f t="shared" si="14"/>
        <v>0.33333333333333331</v>
      </c>
      <c r="P12" s="17">
        <f t="shared" si="18"/>
        <v>3000</v>
      </c>
      <c r="Q12" s="13">
        <f t="shared" si="6"/>
        <v>0.95655542939933669</v>
      </c>
      <c r="R12" s="14">
        <f t="shared" si="7"/>
        <v>2869.6662881980101</v>
      </c>
      <c r="T12" s="12">
        <f t="shared" si="15"/>
        <v>5</v>
      </c>
      <c r="U12" s="12">
        <f t="shared" si="8"/>
        <v>4</v>
      </c>
      <c r="V12" s="14">
        <f t="shared" si="19"/>
        <v>10123.776</v>
      </c>
      <c r="W12" s="14">
        <f t="shared" si="9"/>
        <v>9478.2680647007055</v>
      </c>
      <c r="X12" s="13">
        <f t="shared" si="10"/>
        <v>0.5868426819556597</v>
      </c>
      <c r="Y12" s="14">
        <f t="shared" si="11"/>
        <v>5562.252251383642</v>
      </c>
      <c r="Z12" s="15"/>
      <c r="AA12" s="15"/>
    </row>
    <row r="13" spans="1:27" x14ac:dyDescent="0.25">
      <c r="A13" s="7">
        <f t="shared" si="12"/>
        <v>0.41666666666666663</v>
      </c>
      <c r="B13" s="17">
        <f t="shared" si="16"/>
        <v>3000</v>
      </c>
      <c r="C13" s="13">
        <f t="shared" si="0"/>
        <v>0.97144639157778767</v>
      </c>
      <c r="D13" s="14">
        <f t="shared" si="1"/>
        <v>2914.3391747333631</v>
      </c>
      <c r="F13" s="12">
        <f t="shared" si="13"/>
        <v>6</v>
      </c>
      <c r="G13" s="12">
        <f t="shared" si="2"/>
        <v>5</v>
      </c>
      <c r="H13" s="14">
        <f t="shared" si="17"/>
        <v>10528.72704</v>
      </c>
      <c r="I13" s="14">
        <f t="shared" si="3"/>
        <v>10171.053583613972</v>
      </c>
      <c r="J13" s="13">
        <f t="shared" si="4"/>
        <v>0.7063599598746293</v>
      </c>
      <c r="K13" s="14">
        <f t="shared" si="5"/>
        <v>7184.4250012042694</v>
      </c>
      <c r="L13" s="15"/>
      <c r="M13" s="15"/>
      <c r="O13" s="7">
        <f t="shared" si="14"/>
        <v>0.41666666666666663</v>
      </c>
      <c r="P13" s="17">
        <f t="shared" si="18"/>
        <v>3000</v>
      </c>
      <c r="Q13" s="13">
        <f t="shared" si="6"/>
        <v>0.94599246324550013</v>
      </c>
      <c r="R13" s="14">
        <f t="shared" si="7"/>
        <v>2837.9773897365003</v>
      </c>
      <c r="T13" s="12">
        <f t="shared" si="15"/>
        <v>6</v>
      </c>
      <c r="U13" s="12">
        <f t="shared" si="8"/>
        <v>5</v>
      </c>
      <c r="V13" s="14">
        <f t="shared" si="19"/>
        <v>10528.72704</v>
      </c>
      <c r="W13" s="14">
        <f t="shared" si="9"/>
        <v>9857.3987872887337</v>
      </c>
      <c r="X13" s="13">
        <f t="shared" si="10"/>
        <v>0.51363205139208146</v>
      </c>
      <c r="Y13" s="14">
        <f t="shared" si="11"/>
        <v>5063.0759605049279</v>
      </c>
      <c r="Z13" s="15"/>
      <c r="AA13" s="15"/>
    </row>
    <row r="14" spans="1:27" x14ac:dyDescent="0.25">
      <c r="A14" s="7">
        <f t="shared" si="12"/>
        <v>0.49999999999999994</v>
      </c>
      <c r="B14" s="17">
        <f t="shared" si="16"/>
        <v>3000</v>
      </c>
      <c r="C14" s="13">
        <f t="shared" si="0"/>
        <v>0.96583426160781971</v>
      </c>
      <c r="D14" s="14">
        <f t="shared" si="1"/>
        <v>2897.502784823459</v>
      </c>
      <c r="F14" s="12">
        <f t="shared" si="13"/>
        <v>7</v>
      </c>
      <c r="G14" s="12">
        <f t="shared" si="2"/>
        <v>6</v>
      </c>
      <c r="H14" s="14">
        <f t="shared" si="17"/>
        <v>10949.8761216</v>
      </c>
      <c r="I14" s="14">
        <f t="shared" si="3"/>
        <v>10577.89572695853</v>
      </c>
      <c r="J14" s="13">
        <f t="shared" si="4"/>
        <v>0.65891787301737803</v>
      </c>
      <c r="K14" s="14">
        <f t="shared" si="5"/>
        <v>6969.964553407126</v>
      </c>
      <c r="L14" s="15"/>
      <c r="M14" s="15"/>
      <c r="O14" s="7">
        <f t="shared" si="14"/>
        <v>0.49999999999999994</v>
      </c>
      <c r="P14" s="17">
        <f t="shared" si="18"/>
        <v>3000</v>
      </c>
      <c r="Q14" s="13">
        <f t="shared" si="6"/>
        <v>0.93554614088515187</v>
      </c>
      <c r="R14" s="14">
        <f t="shared" si="7"/>
        <v>2806.6384226554555</v>
      </c>
      <c r="T14" s="12">
        <f t="shared" si="15"/>
        <v>7</v>
      </c>
      <c r="U14" s="12">
        <f t="shared" si="8"/>
        <v>6</v>
      </c>
      <c r="V14" s="14">
        <f t="shared" si="19"/>
        <v>10949.8761216</v>
      </c>
      <c r="W14" s="14">
        <f t="shared" si="9"/>
        <v>10251.694738780283</v>
      </c>
      <c r="X14" s="13">
        <f t="shared" si="10"/>
        <v>0.44955469724537039</v>
      </c>
      <c r="Y14" s="14">
        <f t="shared" si="11"/>
        <v>4608.6975245443264</v>
      </c>
      <c r="Z14" s="15"/>
      <c r="AA14" s="15"/>
    </row>
    <row r="15" spans="1:27" x14ac:dyDescent="0.25">
      <c r="A15" s="7">
        <f t="shared" si="12"/>
        <v>0.58333333333333326</v>
      </c>
      <c r="B15" s="17">
        <f t="shared" si="16"/>
        <v>3000</v>
      </c>
      <c r="C15" s="13">
        <f t="shared" si="0"/>
        <v>0.96025455339892141</v>
      </c>
      <c r="D15" s="14">
        <f t="shared" si="1"/>
        <v>2880.7636601967642</v>
      </c>
      <c r="F15" s="12">
        <f t="shared" si="13"/>
        <v>8</v>
      </c>
      <c r="G15" s="12">
        <f t="shared" si="2"/>
        <v>7</v>
      </c>
      <c r="H15" s="14">
        <f t="shared" si="17"/>
        <v>11387.871166464001</v>
      </c>
      <c r="I15" s="14">
        <f t="shared" si="3"/>
        <v>11001.011556036872</v>
      </c>
      <c r="J15" s="13">
        <f t="shared" si="4"/>
        <v>0.6146621949788974</v>
      </c>
      <c r="K15" s="14">
        <f t="shared" si="5"/>
        <v>6761.9059100218392</v>
      </c>
      <c r="L15" s="15"/>
      <c r="M15" s="15"/>
      <c r="O15" s="7">
        <f t="shared" si="14"/>
        <v>0.58333333333333326</v>
      </c>
      <c r="P15" s="17">
        <f t="shared" si="18"/>
        <v>3000</v>
      </c>
      <c r="Q15" s="13">
        <f t="shared" si="6"/>
        <v>0.92521517425446975</v>
      </c>
      <c r="R15" s="14">
        <f t="shared" si="7"/>
        <v>2775.6455227634092</v>
      </c>
      <c r="T15" s="12">
        <f t="shared" si="15"/>
        <v>8</v>
      </c>
      <c r="U15" s="12">
        <f t="shared" si="8"/>
        <v>7</v>
      </c>
      <c r="V15" s="14">
        <f t="shared" si="19"/>
        <v>11387.871166464001</v>
      </c>
      <c r="W15" s="14">
        <f t="shared" si="9"/>
        <v>10661.762528331496</v>
      </c>
      <c r="X15" s="13">
        <f t="shared" si="10"/>
        <v>0.39347121206247299</v>
      </c>
      <c r="Y15" s="14">
        <f t="shared" si="11"/>
        <v>4195.0966247448505</v>
      </c>
      <c r="Z15" s="15"/>
      <c r="AA15" s="15"/>
    </row>
    <row r="16" spans="1:27" x14ac:dyDescent="0.25">
      <c r="A16" s="7">
        <f t="shared" si="12"/>
        <v>0.66666666666666663</v>
      </c>
      <c r="B16" s="17">
        <f t="shared" si="16"/>
        <v>3000</v>
      </c>
      <c r="C16" s="13">
        <f t="shared" si="0"/>
        <v>0.95470707964777024</v>
      </c>
      <c r="D16" s="14">
        <f t="shared" si="1"/>
        <v>2864.1212389433108</v>
      </c>
      <c r="F16" s="12">
        <f t="shared" si="13"/>
        <v>9</v>
      </c>
      <c r="G16" s="12">
        <f t="shared" si="2"/>
        <v>8</v>
      </c>
      <c r="H16" s="14">
        <f t="shared" si="17"/>
        <v>11843.386013122561</v>
      </c>
      <c r="I16" s="14">
        <f t="shared" si="3"/>
        <v>11441.052018278348</v>
      </c>
      <c r="J16" s="13">
        <f t="shared" si="4"/>
        <v>0.57337891322658319</v>
      </c>
      <c r="K16" s="14">
        <f t="shared" si="5"/>
        <v>6560.0579724092449</v>
      </c>
      <c r="L16" s="15"/>
      <c r="M16" s="15"/>
      <c r="O16" s="7">
        <f t="shared" si="14"/>
        <v>0.66666666666666663</v>
      </c>
      <c r="P16" s="17">
        <f t="shared" si="18"/>
        <v>3000</v>
      </c>
      <c r="Q16" s="13">
        <f t="shared" si="6"/>
        <v>0.91499828951334927</v>
      </c>
      <c r="R16" s="14">
        <f t="shared" si="7"/>
        <v>2744.9948685400477</v>
      </c>
      <c r="T16" s="12">
        <f t="shared" si="15"/>
        <v>9</v>
      </c>
      <c r="U16" s="12">
        <f t="shared" si="8"/>
        <v>8</v>
      </c>
      <c r="V16" s="14">
        <f t="shared" si="19"/>
        <v>11843.386013122561</v>
      </c>
      <c r="W16" s="14">
        <f t="shared" si="9"/>
        <v>11088.233029464756</v>
      </c>
      <c r="X16" s="13">
        <f t="shared" si="10"/>
        <v>0.34438433336491153</v>
      </c>
      <c r="Y16" s="14">
        <f t="shared" si="11"/>
        <v>3818.6137400470134</v>
      </c>
      <c r="Z16" s="15"/>
      <c r="AA16" s="15"/>
    </row>
    <row r="17" spans="1:27" x14ac:dyDescent="0.25">
      <c r="A17" s="7">
        <f t="shared" si="12"/>
        <v>0.75</v>
      </c>
      <c r="B17" s="17">
        <f t="shared" si="16"/>
        <v>3000</v>
      </c>
      <c r="C17" s="13">
        <f t="shared" si="0"/>
        <v>0.9491916541331108</v>
      </c>
      <c r="D17" s="14">
        <f t="shared" si="1"/>
        <v>2847.5749623993324</v>
      </c>
      <c r="F17" s="12">
        <f t="shared" si="13"/>
        <v>10</v>
      </c>
      <c r="G17" s="12">
        <f t="shared" si="2"/>
        <v>9</v>
      </c>
      <c r="H17" s="14">
        <f t="shared" si="17"/>
        <v>12317.121453647464</v>
      </c>
      <c r="I17" s="14">
        <f t="shared" si="3"/>
        <v>11898.694099009481</v>
      </c>
      <c r="J17" s="13">
        <f t="shared" si="4"/>
        <v>0.53486838920390223</v>
      </c>
      <c r="K17" s="14">
        <f t="shared" si="5"/>
        <v>6364.235346367178</v>
      </c>
      <c r="L17" s="14">
        <v>25000</v>
      </c>
      <c r="M17" s="15">
        <f>L17*(1+B1)^(-F17)</f>
        <v>12473.609822852193</v>
      </c>
      <c r="O17" s="7">
        <f t="shared" si="14"/>
        <v>0.75</v>
      </c>
      <c r="P17" s="17">
        <f t="shared" si="18"/>
        <v>3000</v>
      </c>
      <c r="Q17" s="13">
        <f t="shared" si="6"/>
        <v>0.90489422688833554</v>
      </c>
      <c r="R17" s="14">
        <f t="shared" si="7"/>
        <v>2714.6826806650065</v>
      </c>
      <c r="T17" s="12">
        <f t="shared" si="15"/>
        <v>10</v>
      </c>
      <c r="U17" s="12">
        <f t="shared" si="8"/>
        <v>9</v>
      </c>
      <c r="V17" s="14">
        <f t="shared" si="19"/>
        <v>12317.121453647464</v>
      </c>
      <c r="W17" s="14">
        <f t="shared" si="9"/>
        <v>11531.762350643347</v>
      </c>
      <c r="X17" s="13">
        <f t="shared" si="10"/>
        <v>0.3014212105773163</v>
      </c>
      <c r="Y17" s="14">
        <f t="shared" si="11"/>
        <v>3475.9177678208362</v>
      </c>
      <c r="Z17" s="14">
        <v>25000</v>
      </c>
      <c r="AA17" s="15">
        <f>Z17*(1+P1)^(-T17)</f>
        <v>6595.4471054309442</v>
      </c>
    </row>
    <row r="18" spans="1:27" x14ac:dyDescent="0.25">
      <c r="A18" s="7">
        <f t="shared" si="12"/>
        <v>0.83333333333333337</v>
      </c>
      <c r="B18" s="17">
        <f t="shared" si="16"/>
        <v>3000</v>
      </c>
      <c r="C18" s="13">
        <f t="shared" si="0"/>
        <v>0.94370809170950443</v>
      </c>
      <c r="D18" s="14">
        <f t="shared" si="1"/>
        <v>2831.1242751285131</v>
      </c>
      <c r="O18" s="7">
        <f t="shared" si="14"/>
        <v>0.83333333333333337</v>
      </c>
      <c r="P18" s="17">
        <f t="shared" si="18"/>
        <v>3000</v>
      </c>
      <c r="Q18" s="13">
        <f t="shared" si="6"/>
        <v>0.89490174051728888</v>
      </c>
      <c r="R18" s="14">
        <f t="shared" si="7"/>
        <v>2684.7052215518665</v>
      </c>
    </row>
    <row r="19" spans="1:27" x14ac:dyDescent="0.25">
      <c r="A19" s="7">
        <f>A18+1/12</f>
        <v>0.91666666666666674</v>
      </c>
      <c r="B19" s="17">
        <f t="shared" si="16"/>
        <v>3000</v>
      </c>
      <c r="C19" s="13">
        <f t="shared" si="0"/>
        <v>0.93825620830111356</v>
      </c>
      <c r="D19" s="14">
        <f t="shared" si="1"/>
        <v>2814.7686249033409</v>
      </c>
      <c r="O19" s="7">
        <f t="shared" si="14"/>
        <v>0.91666666666666674</v>
      </c>
      <c r="P19" s="17">
        <f t="shared" si="18"/>
        <v>3000</v>
      </c>
      <c r="Q19" s="13">
        <f t="shared" si="6"/>
        <v>0.88501959829576649</v>
      </c>
      <c r="R19" s="14">
        <f t="shared" si="7"/>
        <v>2655.0587948872994</v>
      </c>
    </row>
    <row r="20" spans="1:27" x14ac:dyDescent="0.25">
      <c r="A20" s="7">
        <f t="shared" si="12"/>
        <v>1</v>
      </c>
      <c r="B20" s="17">
        <f t="shared" si="16"/>
        <v>3000</v>
      </c>
      <c r="C20" s="13">
        <f t="shared" si="0"/>
        <v>0.93283582089552231</v>
      </c>
      <c r="D20" s="14">
        <f t="shared" si="1"/>
        <v>2798.5074626865671</v>
      </c>
      <c r="O20" s="7">
        <f t="shared" si="14"/>
        <v>1</v>
      </c>
      <c r="P20" s="17">
        <f t="shared" si="18"/>
        <v>3000</v>
      </c>
      <c r="Q20" s="13">
        <f t="shared" si="6"/>
        <v>0.8752465817251005</v>
      </c>
      <c r="R20" s="14">
        <f t="shared" si="7"/>
        <v>2625.7397451753013</v>
      </c>
    </row>
    <row r="21" spans="1:27" x14ac:dyDescent="0.25">
      <c r="D21" s="10"/>
      <c r="R21" s="10"/>
    </row>
    <row r="22" spans="1:27" x14ac:dyDescent="0.25">
      <c r="A22" t="s">
        <v>0</v>
      </c>
      <c r="O22" t="s">
        <v>0</v>
      </c>
    </row>
    <row r="24" spans="1:27" x14ac:dyDescent="0.25">
      <c r="A24" s="16" t="s">
        <v>18</v>
      </c>
      <c r="B24" s="16"/>
      <c r="C24" s="16"/>
      <c r="D24" s="14">
        <f>SUM(D8:D20)</f>
        <v>54676.38793773597</v>
      </c>
      <c r="F24" s="16" t="s">
        <v>19</v>
      </c>
      <c r="G24" s="16"/>
      <c r="H24" s="16"/>
      <c r="I24" s="16"/>
      <c r="J24" s="16"/>
      <c r="K24" s="16"/>
      <c r="L24" s="16"/>
      <c r="M24" s="14">
        <f>SUM(K8:K17)+M17</f>
        <v>77331.562017829172</v>
      </c>
      <c r="O24" s="16" t="s">
        <v>18</v>
      </c>
      <c r="P24" s="16"/>
      <c r="Q24" s="16"/>
      <c r="R24" s="14">
        <f>SUM(R8:R20)</f>
        <v>53517.799375690556</v>
      </c>
      <c r="T24" s="16" t="s">
        <v>19</v>
      </c>
      <c r="U24" s="16"/>
      <c r="V24" s="16"/>
      <c r="W24" s="16"/>
      <c r="X24" s="16"/>
      <c r="Y24" s="16"/>
      <c r="Z24" s="16"/>
      <c r="AA24" s="14">
        <f>SUM(Y8:Y17)+AA17</f>
        <v>53517.799962789824</v>
      </c>
    </row>
    <row r="26" spans="1:27" x14ac:dyDescent="0.25">
      <c r="A26" s="16" t="s">
        <v>20</v>
      </c>
      <c r="B26" s="16"/>
      <c r="C26" s="16"/>
      <c r="D26" s="14">
        <f>M24-D24</f>
        <v>22655.174080093202</v>
      </c>
      <c r="O26" s="16" t="s">
        <v>20</v>
      </c>
      <c r="P26" s="16"/>
      <c r="Q26" s="16"/>
      <c r="R26" s="14">
        <f>AA24-R24</f>
        <v>5.8709926815936342E-4</v>
      </c>
    </row>
  </sheetData>
  <mergeCells count="6">
    <mergeCell ref="A24:C24"/>
    <mergeCell ref="F24:L24"/>
    <mergeCell ref="A26:C26"/>
    <mergeCell ref="O24:Q24"/>
    <mergeCell ref="T24:Z24"/>
    <mergeCell ref="O26:Q26"/>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84089-E00D-4AF3-BCF1-655D1A0BF738}">
  <dimension ref="A1:M26"/>
  <sheetViews>
    <sheetView workbookViewId="0">
      <selection activeCell="J29" sqref="J29"/>
    </sheetView>
  </sheetViews>
  <sheetFormatPr defaultRowHeight="15" x14ac:dyDescent="0.25"/>
  <cols>
    <col min="1" max="1" width="22.7109375" customWidth="1"/>
    <col min="4" max="4" width="11" customWidth="1"/>
    <col min="12" max="12" width="12.140625" customWidth="1"/>
  </cols>
  <sheetData>
    <row r="1" spans="1:13" x14ac:dyDescent="0.25">
      <c r="A1" t="s">
        <v>21</v>
      </c>
      <c r="B1" s="1">
        <v>0.32</v>
      </c>
    </row>
    <row r="2" spans="1:13" x14ac:dyDescent="0.25">
      <c r="A2" t="s">
        <v>22</v>
      </c>
      <c r="B2" s="2">
        <v>0.04</v>
      </c>
    </row>
    <row r="3" spans="1:13" x14ac:dyDescent="0.25">
      <c r="A3" t="s">
        <v>23</v>
      </c>
      <c r="B3" s="1">
        <v>7.4999999999999997E-2</v>
      </c>
    </row>
    <row r="5" spans="1:13" x14ac:dyDescent="0.25">
      <c r="A5" t="s">
        <v>3</v>
      </c>
      <c r="B5" s="3">
        <f>(1-(1+B1)^(-1))/LN(1+B1)</f>
        <v>0.87318634891881697</v>
      </c>
    </row>
    <row r="7" spans="1:13" x14ac:dyDescent="0.25">
      <c r="A7" s="4" t="s">
        <v>4</v>
      </c>
      <c r="B7" s="5"/>
      <c r="F7" s="11" t="s">
        <v>9</v>
      </c>
      <c r="G7" s="5"/>
    </row>
    <row r="8" spans="1:13" ht="75" x14ac:dyDescent="0.25">
      <c r="A8" s="6" t="s">
        <v>5</v>
      </c>
      <c r="B8" s="6" t="s">
        <v>6</v>
      </c>
      <c r="C8" s="6" t="s">
        <v>7</v>
      </c>
      <c r="D8" s="6" t="s">
        <v>8</v>
      </c>
      <c r="F8" s="6" t="s">
        <v>10</v>
      </c>
      <c r="G8" s="6" t="s">
        <v>11</v>
      </c>
      <c r="H8" s="6" t="s">
        <v>17</v>
      </c>
      <c r="I8" s="6" t="s">
        <v>12</v>
      </c>
      <c r="J8" s="6" t="s">
        <v>13</v>
      </c>
      <c r="K8" s="6" t="s">
        <v>14</v>
      </c>
      <c r="L8" s="6" t="s">
        <v>15</v>
      </c>
      <c r="M8" s="6" t="s">
        <v>16</v>
      </c>
    </row>
    <row r="9" spans="1:13" x14ac:dyDescent="0.25">
      <c r="A9" s="7">
        <v>0</v>
      </c>
      <c r="B9" s="17">
        <v>50000</v>
      </c>
      <c r="C9" s="13">
        <f>(1+$B$1)^(-A9)</f>
        <v>1</v>
      </c>
      <c r="D9" s="14">
        <f>B9*C9</f>
        <v>50000</v>
      </c>
      <c r="F9" s="12">
        <v>1</v>
      </c>
      <c r="G9" s="12">
        <f>F9-1</f>
        <v>0</v>
      </c>
      <c r="H9" s="14">
        <v>0</v>
      </c>
      <c r="I9" s="14">
        <f>H9*$B$5</f>
        <v>0</v>
      </c>
      <c r="J9" s="13">
        <f>(1+$B$1)^(-G9)</f>
        <v>1</v>
      </c>
      <c r="K9" s="14">
        <f>I9*J9</f>
        <v>0</v>
      </c>
      <c r="L9" s="15"/>
      <c r="M9" s="15"/>
    </row>
    <row r="10" spans="1:13" x14ac:dyDescent="0.25">
      <c r="A10" s="7">
        <f>A9+1/4</f>
        <v>0.25</v>
      </c>
      <c r="B10" s="17">
        <v>5000</v>
      </c>
      <c r="C10" s="13">
        <f t="shared" ref="C10:C17" si="0">(1+$B$1)^(-A10)</f>
        <v>0.93294602189970732</v>
      </c>
      <c r="D10" s="14">
        <f t="shared" ref="D10:D17" si="1">B10*C10</f>
        <v>4664.7301094985369</v>
      </c>
      <c r="F10" s="12">
        <f>F9+1</f>
        <v>2</v>
      </c>
      <c r="G10" s="12">
        <f t="shared" ref="G10:G18" si="2">F10-1</f>
        <v>1</v>
      </c>
      <c r="H10" s="14">
        <v>25000</v>
      </c>
      <c r="I10" s="14">
        <f t="shared" ref="I10:I22" si="3">H10*$B$5</f>
        <v>21829.658722970424</v>
      </c>
      <c r="J10" s="13">
        <f t="shared" ref="J10:J18" si="4">(1+$B$1)^(-G10)</f>
        <v>0.75757575757575757</v>
      </c>
      <c r="K10" s="14">
        <f t="shared" ref="K10:K18" si="5">I10*J10</f>
        <v>16537.620244674563</v>
      </c>
      <c r="L10" s="15"/>
      <c r="M10" s="15"/>
    </row>
    <row r="11" spans="1:13" x14ac:dyDescent="0.25">
      <c r="A11" s="7">
        <f t="shared" ref="A11:A16" si="6">A10+1/4</f>
        <v>0.5</v>
      </c>
      <c r="B11" s="17">
        <f>B10</f>
        <v>5000</v>
      </c>
      <c r="C11" s="13">
        <f t="shared" si="0"/>
        <v>0.8703882797784892</v>
      </c>
      <c r="D11" s="14">
        <f t="shared" si="1"/>
        <v>4351.9413988924462</v>
      </c>
      <c r="F11" s="12">
        <f t="shared" ref="F11:F22" si="7">F10+1</f>
        <v>3</v>
      </c>
      <c r="G11" s="12">
        <f t="shared" si="2"/>
        <v>2</v>
      </c>
      <c r="H11" s="14">
        <f>H10*(1+$B$2)</f>
        <v>26000</v>
      </c>
      <c r="I11" s="14">
        <f t="shared" si="3"/>
        <v>22702.845071889242</v>
      </c>
      <c r="J11" s="13">
        <f t="shared" si="4"/>
        <v>0.57392102846648296</v>
      </c>
      <c r="K11" s="14">
        <f t="shared" si="5"/>
        <v>13029.640192773899</v>
      </c>
      <c r="L11" s="15"/>
      <c r="M11" s="15"/>
    </row>
    <row r="12" spans="1:13" x14ac:dyDescent="0.25">
      <c r="A12" s="7">
        <f t="shared" si="6"/>
        <v>0.75</v>
      </c>
      <c r="B12" s="17">
        <f t="shared" ref="B12:B17" si="8">B11</f>
        <v>5000</v>
      </c>
      <c r="C12" s="13">
        <f t="shared" si="0"/>
        <v>0.81202528312747091</v>
      </c>
      <c r="D12" s="14">
        <f t="shared" si="1"/>
        <v>4060.1264156373545</v>
      </c>
      <c r="F12" s="12">
        <f t="shared" si="7"/>
        <v>4</v>
      </c>
      <c r="G12" s="12">
        <f t="shared" si="2"/>
        <v>3</v>
      </c>
      <c r="H12" s="14">
        <f t="shared" ref="H12:H18" si="9">H11*(1+$B$2)</f>
        <v>27040</v>
      </c>
      <c r="I12" s="14">
        <f t="shared" si="3"/>
        <v>23610.958874764812</v>
      </c>
      <c r="J12" s="13">
        <f t="shared" si="4"/>
        <v>0.43478865792915378</v>
      </c>
      <c r="K12" s="14">
        <f t="shared" si="5"/>
        <v>10265.777121579435</v>
      </c>
      <c r="L12" s="15"/>
      <c r="M12" s="15"/>
    </row>
    <row r="13" spans="1:13" x14ac:dyDescent="0.25">
      <c r="A13" s="7">
        <f t="shared" si="6"/>
        <v>1</v>
      </c>
      <c r="B13" s="17">
        <f t="shared" si="8"/>
        <v>5000</v>
      </c>
      <c r="C13" s="13">
        <f t="shared" si="0"/>
        <v>0.75757575757575757</v>
      </c>
      <c r="D13" s="14">
        <f t="shared" si="1"/>
        <v>3787.878787878788</v>
      </c>
      <c r="F13" s="12">
        <f t="shared" si="7"/>
        <v>5</v>
      </c>
      <c r="G13" s="12">
        <f t="shared" si="2"/>
        <v>4</v>
      </c>
      <c r="H13" s="14">
        <f t="shared" si="9"/>
        <v>28121.600000000002</v>
      </c>
      <c r="I13" s="14">
        <f t="shared" si="3"/>
        <v>24555.397229755406</v>
      </c>
      <c r="J13" s="13">
        <f t="shared" si="4"/>
        <v>0.32938534691602556</v>
      </c>
      <c r="K13" s="14">
        <f t="shared" si="5"/>
        <v>8088.1880351837972</v>
      </c>
      <c r="L13" s="15"/>
      <c r="M13" s="15"/>
    </row>
    <row r="14" spans="1:13" x14ac:dyDescent="0.25">
      <c r="A14" s="7">
        <f>A13+1/4</f>
        <v>1.25</v>
      </c>
      <c r="B14" s="17">
        <f t="shared" si="8"/>
        <v>5000</v>
      </c>
      <c r="C14" s="13">
        <f t="shared" si="0"/>
        <v>0.70677728931796002</v>
      </c>
      <c r="D14" s="14">
        <f t="shared" si="1"/>
        <v>3533.8864465898</v>
      </c>
      <c r="F14" s="12">
        <f t="shared" si="7"/>
        <v>6</v>
      </c>
      <c r="G14" s="12">
        <f t="shared" si="2"/>
        <v>5</v>
      </c>
      <c r="H14" s="14">
        <f t="shared" si="9"/>
        <v>29246.464000000004</v>
      </c>
      <c r="I14" s="14">
        <f t="shared" si="3"/>
        <v>25537.613118945621</v>
      </c>
      <c r="J14" s="13">
        <f t="shared" si="4"/>
        <v>0.24953435372426175</v>
      </c>
      <c r="K14" s="14">
        <f t="shared" si="5"/>
        <v>6372.511785296324</v>
      </c>
      <c r="L14" s="15"/>
      <c r="M14" s="15"/>
    </row>
    <row r="15" spans="1:13" x14ac:dyDescent="0.25">
      <c r="A15" s="7">
        <f t="shared" si="6"/>
        <v>1.5</v>
      </c>
      <c r="B15" s="17">
        <f t="shared" si="8"/>
        <v>5000</v>
      </c>
      <c r="C15" s="13">
        <f t="shared" si="0"/>
        <v>0.65938506043824929</v>
      </c>
      <c r="D15" s="14">
        <f t="shared" si="1"/>
        <v>3296.9253021912464</v>
      </c>
      <c r="F15" s="12">
        <f t="shared" si="7"/>
        <v>7</v>
      </c>
      <c r="G15" s="12">
        <f t="shared" si="2"/>
        <v>6</v>
      </c>
      <c r="H15" s="14">
        <f t="shared" si="9"/>
        <v>30416.322560000004</v>
      </c>
      <c r="I15" s="14">
        <f t="shared" si="3"/>
        <v>26559.117643703448</v>
      </c>
      <c r="J15" s="13">
        <f t="shared" si="4"/>
        <v>0.18904117706383466</v>
      </c>
      <c r="K15" s="14">
        <f t="shared" si="5"/>
        <v>5020.7668611425588</v>
      </c>
      <c r="L15" s="15"/>
      <c r="M15" s="15"/>
    </row>
    <row r="16" spans="1:13" x14ac:dyDescent="0.25">
      <c r="A16" s="7">
        <f t="shared" si="6"/>
        <v>1.75</v>
      </c>
      <c r="B16" s="17">
        <f t="shared" si="8"/>
        <v>5000</v>
      </c>
      <c r="C16" s="13">
        <f t="shared" si="0"/>
        <v>0.61517066903596274</v>
      </c>
      <c r="D16" s="14">
        <f t="shared" si="1"/>
        <v>3075.8533451798135</v>
      </c>
      <c r="F16" s="12">
        <f t="shared" si="7"/>
        <v>8</v>
      </c>
      <c r="G16" s="12">
        <f t="shared" si="2"/>
        <v>7</v>
      </c>
      <c r="H16" s="14">
        <f t="shared" si="9"/>
        <v>31632.975462400005</v>
      </c>
      <c r="I16" s="14">
        <f t="shared" si="3"/>
        <v>27621.482349451588</v>
      </c>
      <c r="J16" s="13">
        <f t="shared" si="4"/>
        <v>0.14321301292714747</v>
      </c>
      <c r="K16" s="14">
        <f t="shared" si="5"/>
        <v>3955.755708778986</v>
      </c>
      <c r="L16" s="15"/>
      <c r="M16" s="15"/>
    </row>
    <row r="17" spans="1:13" x14ac:dyDescent="0.25">
      <c r="A17" s="7">
        <f>A16+1/4</f>
        <v>2</v>
      </c>
      <c r="B17" s="17">
        <f t="shared" si="8"/>
        <v>5000</v>
      </c>
      <c r="C17" s="13">
        <f t="shared" si="0"/>
        <v>0.57392102846648296</v>
      </c>
      <c r="D17" s="14">
        <f t="shared" si="1"/>
        <v>2869.6051423324147</v>
      </c>
      <c r="F17" s="12">
        <f t="shared" si="7"/>
        <v>9</v>
      </c>
      <c r="G17" s="12">
        <f t="shared" si="2"/>
        <v>8</v>
      </c>
      <c r="H17" s="14">
        <f t="shared" si="9"/>
        <v>32898.294480896009</v>
      </c>
      <c r="I17" s="14">
        <f t="shared" si="3"/>
        <v>28726.341643429652</v>
      </c>
      <c r="J17" s="13">
        <f t="shared" si="4"/>
        <v>0.1084947067629905</v>
      </c>
      <c r="K17" s="14">
        <f t="shared" si="5"/>
        <v>3116.6560129773829</v>
      </c>
      <c r="L17" s="15"/>
      <c r="M17" s="15"/>
    </row>
    <row r="18" spans="1:13" x14ac:dyDescent="0.25">
      <c r="D18" s="10"/>
      <c r="F18" s="12">
        <f t="shared" si="7"/>
        <v>10</v>
      </c>
      <c r="G18" s="12">
        <f t="shared" si="2"/>
        <v>9</v>
      </c>
      <c r="H18" s="14">
        <f>H17*(1+$B$3)</f>
        <v>35365.666566963206</v>
      </c>
      <c r="I18" s="14">
        <f t="shared" si="3"/>
        <v>30880.817266686874</v>
      </c>
      <c r="J18" s="13">
        <f t="shared" si="4"/>
        <v>8.2192959668932197E-2</v>
      </c>
      <c r="K18" s="14">
        <f t="shared" si="5"/>
        <v>2538.1857681444594</v>
      </c>
      <c r="L18" s="15"/>
      <c r="M18" s="15"/>
    </row>
    <row r="19" spans="1:13" x14ac:dyDescent="0.25">
      <c r="F19" s="12">
        <f t="shared" si="7"/>
        <v>11</v>
      </c>
      <c r="G19" s="12">
        <f t="shared" ref="G19:G22" si="10">F19-1</f>
        <v>10</v>
      </c>
      <c r="H19" s="14">
        <f t="shared" ref="H19:H22" si="11">H18*(1+$B$3)</f>
        <v>38018.091559485445</v>
      </c>
      <c r="I19" s="14">
        <f t="shared" si="3"/>
        <v>33196.878561688391</v>
      </c>
      <c r="J19" s="13">
        <f t="shared" ref="J19:J22" si="12">(1+$B$1)^(-G19)</f>
        <v>6.2267393688584992E-2</v>
      </c>
      <c r="K19" s="14">
        <f t="shared" ref="K19:K22" si="13">I19*J19</f>
        <v>2067.0831066327983</v>
      </c>
      <c r="L19" s="15"/>
      <c r="M19" s="15"/>
    </row>
    <row r="20" spans="1:13" x14ac:dyDescent="0.25">
      <c r="F20" s="12">
        <f t="shared" si="7"/>
        <v>12</v>
      </c>
      <c r="G20" s="12">
        <f t="shared" si="10"/>
        <v>11</v>
      </c>
      <c r="H20" s="14">
        <f t="shared" si="11"/>
        <v>40869.448426446848</v>
      </c>
      <c r="I20" s="14">
        <f t="shared" si="3"/>
        <v>35686.64445381501</v>
      </c>
      <c r="J20" s="13">
        <f t="shared" si="12"/>
        <v>4.7172267945897718E-2</v>
      </c>
      <c r="K20" s="14">
        <f t="shared" si="13"/>
        <v>1683.4199542653464</v>
      </c>
      <c r="L20" s="15"/>
      <c r="M20" s="15"/>
    </row>
    <row r="21" spans="1:13" x14ac:dyDescent="0.25">
      <c r="F21" s="12">
        <f t="shared" si="7"/>
        <v>13</v>
      </c>
      <c r="G21" s="12">
        <f t="shared" si="10"/>
        <v>12</v>
      </c>
      <c r="H21" s="14">
        <f t="shared" si="11"/>
        <v>43934.657058430363</v>
      </c>
      <c r="I21" s="14">
        <f t="shared" si="3"/>
        <v>38363.142787851139</v>
      </c>
      <c r="J21" s="13">
        <f t="shared" si="12"/>
        <v>3.5736566625680088E-2</v>
      </c>
      <c r="K21" s="14">
        <f t="shared" si="13"/>
        <v>1370.9670082085208</v>
      </c>
      <c r="L21" s="15"/>
      <c r="M21" s="15"/>
    </row>
    <row r="22" spans="1:13" x14ac:dyDescent="0.25">
      <c r="F22" s="12">
        <f t="shared" si="7"/>
        <v>14</v>
      </c>
      <c r="G22" s="12">
        <f t="shared" si="10"/>
        <v>13</v>
      </c>
      <c r="H22" s="14">
        <f t="shared" si="11"/>
        <v>47229.756337812636</v>
      </c>
      <c r="I22" s="14">
        <f t="shared" si="3"/>
        <v>41240.378496939971</v>
      </c>
      <c r="J22" s="13">
        <f t="shared" si="12"/>
        <v>2.7073156534606124E-2</v>
      </c>
      <c r="K22" s="14">
        <f t="shared" si="13"/>
        <v>1116.5072225940603</v>
      </c>
      <c r="L22" s="18">
        <v>172094.00591329759</v>
      </c>
      <c r="M22" s="15">
        <f>L22*(1+B1)^(-F18)</f>
        <v>10715.845217648974</v>
      </c>
    </row>
    <row r="24" spans="1:13" x14ac:dyDescent="0.25">
      <c r="A24" s="16" t="s">
        <v>18</v>
      </c>
      <c r="B24" s="16"/>
      <c r="C24" s="16"/>
      <c r="D24" s="14">
        <f>SUM(D9:D17)</f>
        <v>79640.946948200377</v>
      </c>
      <c r="F24" s="16" t="s">
        <v>19</v>
      </c>
      <c r="G24" s="16"/>
      <c r="H24" s="16"/>
      <c r="I24" s="16"/>
      <c r="J24" s="16"/>
      <c r="K24" s="16"/>
      <c r="L24" s="16"/>
      <c r="M24" s="14">
        <f>SUM(K9:K18)+M22</f>
        <v>79640.946948200377</v>
      </c>
    </row>
    <row r="26" spans="1:13" x14ac:dyDescent="0.25">
      <c r="A26" s="16" t="s">
        <v>20</v>
      </c>
      <c r="B26" s="16"/>
      <c r="C26" s="16"/>
      <c r="D26" s="14">
        <f>M24-D24</f>
        <v>0</v>
      </c>
    </row>
  </sheetData>
  <mergeCells count="3">
    <mergeCell ref="A24:C24"/>
    <mergeCell ref="F24:L24"/>
    <mergeCell ref="A26:C26"/>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8CE28-3F72-456D-9F51-15D09326DCC7}">
  <dimension ref="A1:V154"/>
  <sheetViews>
    <sheetView workbookViewId="0">
      <selection activeCell="B4" sqref="B4"/>
    </sheetView>
  </sheetViews>
  <sheetFormatPr defaultRowHeight="15" x14ac:dyDescent="0.25"/>
  <cols>
    <col min="19" max="19" width="44" customWidth="1"/>
  </cols>
  <sheetData>
    <row r="1" spans="1:22" x14ac:dyDescent="0.25">
      <c r="A1" t="s">
        <v>27</v>
      </c>
      <c r="N1" t="s">
        <v>38</v>
      </c>
    </row>
    <row r="3" spans="1:22" ht="75" x14ac:dyDescent="0.25">
      <c r="A3" s="6" t="s">
        <v>24</v>
      </c>
      <c r="B3" s="19" t="s">
        <v>25</v>
      </c>
      <c r="C3" s="6" t="s">
        <v>26</v>
      </c>
      <c r="N3" s="6" t="s">
        <v>28</v>
      </c>
      <c r="O3" s="6" t="s">
        <v>29</v>
      </c>
      <c r="P3" s="6" t="s">
        <v>30</v>
      </c>
      <c r="Q3" s="5"/>
      <c r="R3" s="5"/>
      <c r="S3" s="5"/>
      <c r="T3" s="5"/>
      <c r="U3" s="5"/>
      <c r="V3" s="5"/>
    </row>
    <row r="4" spans="1:22" x14ac:dyDescent="0.25">
      <c r="A4" s="20">
        <v>0</v>
      </c>
      <c r="B4" s="21">
        <f>-1-0.4*(1+A4)^(-0.5)+0.5*((1+A4)^(-2)+(1+A4)^(-3)+(1+A4)^(-4)+(1+A4)^(-5))</f>
        <v>0.60000000000000009</v>
      </c>
      <c r="C4" s="21">
        <f>-0.8+0.2*((1+A4)^(-0.5)+(1+A4)^(-1.5)+(1+A4)^(-2.5)+(1+A4)^(-3.5)+(1+A4)^(-4.5))+0.1*(1+A4)^(-5)</f>
        <v>0.29999999999999993</v>
      </c>
      <c r="N4" s="20">
        <f>IF(B4&gt;0,A4,"")</f>
        <v>0</v>
      </c>
      <c r="O4" s="20">
        <f>IF(C4&gt;0,A4,"")</f>
        <v>0</v>
      </c>
      <c r="P4" s="20">
        <f>IF(B4&gt;C4,A4,"")</f>
        <v>0</v>
      </c>
      <c r="Q4" s="5"/>
      <c r="R4" s="22" t="s">
        <v>31</v>
      </c>
      <c r="S4" s="23" t="s">
        <v>32</v>
      </c>
      <c r="T4" s="24">
        <f>MAX(N4:N154)</f>
        <v>0.11400000000000009</v>
      </c>
      <c r="U4" s="25" t="s">
        <v>33</v>
      </c>
      <c r="V4" s="26">
        <f>T4+0.001</f>
        <v>0.11500000000000009</v>
      </c>
    </row>
    <row r="5" spans="1:22" x14ac:dyDescent="0.25">
      <c r="A5" s="20">
        <f>A4+0.001</f>
        <v>1E-3</v>
      </c>
      <c r="B5" s="21">
        <f t="shared" ref="B5:B68" si="0">-1-0.4*(1+A5)^(-0.5)+0.5*((1+A5)^(-2)+(1+A5)^(-3)+(1+A5)^(-4)+(1+A5)^(-5))</f>
        <v>0.59321681568728724</v>
      </c>
      <c r="C5" s="21">
        <f t="shared" ref="C5:C68" si="1">-0.8+0.2*((1+A5)^(-0.5)+(1+A5)^(-1.5)+(1+A5)^(-2.5)+(1+A5)^(-3.5)+(1+A5)^(-4.5))+0.1*(1+A5)^(-5)</f>
        <v>0.29700686146155919</v>
      </c>
      <c r="N5" s="20">
        <f t="shared" ref="N5:N68" si="2">IF(B5&gt;0,A5,"")</f>
        <v>1E-3</v>
      </c>
      <c r="O5" s="20">
        <f t="shared" ref="O5:O68" si="3">IF(C5&gt;0,A5,"")</f>
        <v>1E-3</v>
      </c>
      <c r="P5" s="20">
        <f t="shared" ref="P5:P68" si="4">IF(B5&gt;C5,A5,"")</f>
        <v>1E-3</v>
      </c>
      <c r="Q5" s="5"/>
      <c r="R5" s="22" t="s">
        <v>34</v>
      </c>
      <c r="S5" s="27" t="s">
        <v>35</v>
      </c>
      <c r="T5" s="28">
        <f>MAX(O4:O154)</f>
        <v>0.13100000000000009</v>
      </c>
      <c r="U5" s="29" t="s">
        <v>33</v>
      </c>
      <c r="V5" s="30">
        <f>T5+0.001</f>
        <v>0.13200000000000009</v>
      </c>
    </row>
    <row r="6" spans="1:22" x14ac:dyDescent="0.25">
      <c r="A6" s="20">
        <f t="shared" ref="A6:A69" si="5">A5+0.001</f>
        <v>2E-3</v>
      </c>
      <c r="B6" s="21">
        <f t="shared" si="0"/>
        <v>0.58646712599491968</v>
      </c>
      <c r="C6" s="21">
        <f t="shared" si="1"/>
        <v>0.29402739188430949</v>
      </c>
      <c r="N6" s="20">
        <f t="shared" si="2"/>
        <v>2E-3</v>
      </c>
      <c r="O6" s="20">
        <f t="shared" si="3"/>
        <v>2E-3</v>
      </c>
      <c r="P6" s="20">
        <f t="shared" si="4"/>
        <v>2E-3</v>
      </c>
      <c r="Q6" s="5"/>
      <c r="R6" s="22" t="s">
        <v>36</v>
      </c>
      <c r="S6" s="23" t="s">
        <v>37</v>
      </c>
      <c r="T6" s="24">
        <f>MAX(P4:P104)</f>
        <v>0.10000000000000007</v>
      </c>
      <c r="U6" s="25" t="s">
        <v>33</v>
      </c>
      <c r="V6" s="26">
        <f>T6+0.001</f>
        <v>0.10100000000000008</v>
      </c>
    </row>
    <row r="7" spans="1:22" x14ac:dyDescent="0.25">
      <c r="A7" s="20">
        <f t="shared" si="5"/>
        <v>3.0000000000000001E-3</v>
      </c>
      <c r="B7" s="21">
        <f t="shared" si="0"/>
        <v>0.57975072690339102</v>
      </c>
      <c r="C7" s="21">
        <f t="shared" si="1"/>
        <v>0.29106151075487913</v>
      </c>
      <c r="N7" s="20">
        <f t="shared" si="2"/>
        <v>3.0000000000000001E-3</v>
      </c>
      <c r="O7" s="20">
        <f t="shared" si="3"/>
        <v>3.0000000000000001E-3</v>
      </c>
      <c r="P7" s="20">
        <f t="shared" si="4"/>
        <v>3.0000000000000001E-3</v>
      </c>
      <c r="Q7" s="5"/>
      <c r="R7" s="5"/>
      <c r="S7" s="5"/>
      <c r="T7" s="5"/>
      <c r="U7" s="5"/>
      <c r="V7" s="5"/>
    </row>
    <row r="8" spans="1:22" x14ac:dyDescent="0.25">
      <c r="A8" s="20">
        <f t="shared" si="5"/>
        <v>4.0000000000000001E-3</v>
      </c>
      <c r="B8" s="21">
        <f t="shared" si="0"/>
        <v>0.57306741586576182</v>
      </c>
      <c r="C8" s="21">
        <f t="shared" si="1"/>
        <v>0.28810913812883082</v>
      </c>
      <c r="N8" s="20">
        <f t="shared" si="2"/>
        <v>4.0000000000000001E-3</v>
      </c>
      <c r="O8" s="20">
        <f t="shared" si="3"/>
        <v>4.0000000000000001E-3</v>
      </c>
      <c r="P8" s="20">
        <f t="shared" si="4"/>
        <v>4.0000000000000001E-3</v>
      </c>
      <c r="Q8" s="5"/>
      <c r="R8" s="5"/>
      <c r="S8" s="5"/>
      <c r="T8" s="5"/>
      <c r="U8" s="5"/>
      <c r="V8" s="5"/>
    </row>
    <row r="9" spans="1:22" x14ac:dyDescent="0.25">
      <c r="A9" s="20">
        <f t="shared" si="5"/>
        <v>5.0000000000000001E-3</v>
      </c>
      <c r="B9" s="21">
        <f t="shared" si="0"/>
        <v>0.56641699179543648</v>
      </c>
      <c r="C9" s="21">
        <f t="shared" si="1"/>
        <v>0.28517019462601678</v>
      </c>
      <c r="N9" s="20">
        <f t="shared" si="2"/>
        <v>5.0000000000000001E-3</v>
      </c>
      <c r="O9" s="20">
        <f t="shared" si="3"/>
        <v>5.0000000000000001E-3</v>
      </c>
      <c r="P9" s="20">
        <f t="shared" si="4"/>
        <v>5.0000000000000001E-3</v>
      </c>
      <c r="Q9" s="5"/>
      <c r="R9" s="5"/>
      <c r="S9" s="5"/>
      <c r="T9" s="5"/>
      <c r="U9" s="5"/>
      <c r="V9" s="5"/>
    </row>
    <row r="10" spans="1:22" x14ac:dyDescent="0.25">
      <c r="A10" s="20">
        <f t="shared" si="5"/>
        <v>6.0000000000000001E-3</v>
      </c>
      <c r="B10" s="21">
        <f t="shared" si="0"/>
        <v>0.55979925505402561</v>
      </c>
      <c r="C10" s="21">
        <f t="shared" si="1"/>
        <v>0.28224460142596541</v>
      </c>
      <c r="N10" s="20">
        <f t="shared" si="2"/>
        <v>6.0000000000000001E-3</v>
      </c>
      <c r="O10" s="20">
        <f t="shared" si="3"/>
        <v>6.0000000000000001E-3</v>
      </c>
      <c r="P10" s="20">
        <f t="shared" si="4"/>
        <v>6.0000000000000001E-3</v>
      </c>
    </row>
    <row r="11" spans="1:22" x14ac:dyDescent="0.25">
      <c r="A11" s="20">
        <f t="shared" si="5"/>
        <v>7.0000000000000001E-3</v>
      </c>
      <c r="B11" s="21">
        <f t="shared" si="0"/>
        <v>0.55321400743935567</v>
      </c>
      <c r="C11" s="21">
        <f t="shared" si="1"/>
        <v>0.2793322802633218</v>
      </c>
      <c r="N11" s="20">
        <f t="shared" si="2"/>
        <v>7.0000000000000001E-3</v>
      </c>
      <c r="O11" s="20">
        <f t="shared" si="3"/>
        <v>7.0000000000000001E-3</v>
      </c>
      <c r="P11" s="20">
        <f t="shared" si="4"/>
        <v>7.0000000000000001E-3</v>
      </c>
    </row>
    <row r="12" spans="1:22" x14ac:dyDescent="0.25">
      <c r="A12" s="20">
        <f t="shared" si="5"/>
        <v>8.0000000000000002E-3</v>
      </c>
      <c r="B12" s="21">
        <f t="shared" si="0"/>
        <v>0.54666105217355643</v>
      </c>
      <c r="C12" s="21">
        <f t="shared" si="1"/>
        <v>0.27643315342331842</v>
      </c>
      <c r="N12" s="20">
        <f t="shared" si="2"/>
        <v>8.0000000000000002E-3</v>
      </c>
      <c r="O12" s="20">
        <f t="shared" si="3"/>
        <v>8.0000000000000002E-3</v>
      </c>
      <c r="P12" s="20">
        <f t="shared" si="4"/>
        <v>8.0000000000000002E-3</v>
      </c>
    </row>
    <row r="13" spans="1:22" x14ac:dyDescent="0.25">
      <c r="A13" s="20">
        <f t="shared" si="5"/>
        <v>9.0000000000000011E-3</v>
      </c>
      <c r="B13" s="21">
        <f t="shared" si="0"/>
        <v>0.54014019389129153</v>
      </c>
      <c r="C13" s="21">
        <f t="shared" si="1"/>
        <v>0.27354714373729971</v>
      </c>
      <c r="N13" s="20">
        <f t="shared" si="2"/>
        <v>9.0000000000000011E-3</v>
      </c>
      <c r="O13" s="20">
        <f t="shared" si="3"/>
        <v>9.0000000000000011E-3</v>
      </c>
      <c r="P13" s="20">
        <f t="shared" si="4"/>
        <v>9.0000000000000011E-3</v>
      </c>
    </row>
    <row r="14" spans="1:22" x14ac:dyDescent="0.25">
      <c r="A14" s="20">
        <f t="shared" si="5"/>
        <v>1.0000000000000002E-2</v>
      </c>
      <c r="B14" s="21">
        <f t="shared" si="0"/>
        <v>0.5336512386280694</v>
      </c>
      <c r="C14" s="21">
        <f t="shared" si="1"/>
        <v>0.27067417457827642</v>
      </c>
      <c r="N14" s="20">
        <f t="shared" si="2"/>
        <v>1.0000000000000002E-2</v>
      </c>
      <c r="O14" s="20">
        <f t="shared" si="3"/>
        <v>1.0000000000000002E-2</v>
      </c>
      <c r="P14" s="20">
        <f t="shared" si="4"/>
        <v>1.0000000000000002E-2</v>
      </c>
    </row>
    <row r="15" spans="1:22" x14ac:dyDescent="0.25">
      <c r="A15" s="20">
        <f t="shared" si="5"/>
        <v>1.1000000000000003E-2</v>
      </c>
      <c r="B15" s="21">
        <f t="shared" si="0"/>
        <v>0.52719399380869048</v>
      </c>
      <c r="C15" s="21">
        <f t="shared" si="1"/>
        <v>0.26781416985653134</v>
      </c>
      <c r="N15" s="20">
        <f t="shared" si="2"/>
        <v>1.1000000000000003E-2</v>
      </c>
      <c r="O15" s="20">
        <f t="shared" si="3"/>
        <v>1.1000000000000003E-2</v>
      </c>
      <c r="P15" s="20">
        <f t="shared" si="4"/>
        <v>1.1000000000000003E-2</v>
      </c>
    </row>
    <row r="16" spans="1:22" x14ac:dyDescent="0.25">
      <c r="A16" s="20">
        <f t="shared" si="5"/>
        <v>1.2000000000000004E-2</v>
      </c>
      <c r="B16" s="21">
        <f t="shared" si="0"/>
        <v>0.52076826823577904</v>
      </c>
      <c r="C16" s="21">
        <f t="shared" si="1"/>
        <v>0.26496705401525533</v>
      </c>
      <c r="N16" s="20">
        <f t="shared" si="2"/>
        <v>1.2000000000000004E-2</v>
      </c>
      <c r="O16" s="20">
        <f t="shared" si="3"/>
        <v>1.2000000000000004E-2</v>
      </c>
      <c r="P16" s="20">
        <f t="shared" si="4"/>
        <v>1.2000000000000004E-2</v>
      </c>
    </row>
    <row r="17" spans="1:16" x14ac:dyDescent="0.25">
      <c r="A17" s="20">
        <f t="shared" si="5"/>
        <v>1.3000000000000005E-2</v>
      </c>
      <c r="B17" s="21">
        <f t="shared" si="0"/>
        <v>0.51437387207843854</v>
      </c>
      <c r="C17" s="21">
        <f t="shared" si="1"/>
        <v>0.26213275202623332</v>
      </c>
      <c r="N17" s="20">
        <f t="shared" si="2"/>
        <v>1.3000000000000005E-2</v>
      </c>
      <c r="O17" s="20">
        <f t="shared" si="3"/>
        <v>1.3000000000000005E-2</v>
      </c>
      <c r="P17" s="20">
        <f t="shared" si="4"/>
        <v>1.3000000000000005E-2</v>
      </c>
    </row>
    <row r="18" spans="1:16" x14ac:dyDescent="0.25">
      <c r="A18" s="20">
        <f t="shared" si="5"/>
        <v>1.4000000000000005E-2</v>
      </c>
      <c r="B18" s="21">
        <f t="shared" si="0"/>
        <v>0.50801061686100124</v>
      </c>
      <c r="C18" s="21">
        <f t="shared" si="1"/>
        <v>0.25931118938555986</v>
      </c>
      <c r="N18" s="20">
        <f t="shared" si="2"/>
        <v>1.4000000000000005E-2</v>
      </c>
      <c r="O18" s="20">
        <f t="shared" si="3"/>
        <v>1.4000000000000005E-2</v>
      </c>
      <c r="P18" s="20">
        <f t="shared" si="4"/>
        <v>1.4000000000000005E-2</v>
      </c>
    </row>
    <row r="19" spans="1:16" x14ac:dyDescent="0.25">
      <c r="A19" s="20">
        <f t="shared" si="5"/>
        <v>1.5000000000000006E-2</v>
      </c>
      <c r="B19" s="21">
        <f t="shared" si="0"/>
        <v>0.50167831545189312</v>
      </c>
      <c r="C19" s="21">
        <f t="shared" si="1"/>
        <v>0.25650229210940456</v>
      </c>
      <c r="N19" s="20">
        <f t="shared" si="2"/>
        <v>1.5000000000000006E-2</v>
      </c>
      <c r="O19" s="20">
        <f t="shared" si="3"/>
        <v>1.5000000000000006E-2</v>
      </c>
      <c r="P19" s="20">
        <f t="shared" si="4"/>
        <v>1.5000000000000006E-2</v>
      </c>
    </row>
    <row r="20" spans="1:16" x14ac:dyDescent="0.25">
      <c r="A20" s="20">
        <f t="shared" si="5"/>
        <v>1.6000000000000007E-2</v>
      </c>
      <c r="B20" s="21">
        <f t="shared" si="0"/>
        <v>0.49537678205258362</v>
      </c>
      <c r="C20" s="21">
        <f t="shared" si="1"/>
        <v>0.2537059867298046</v>
      </c>
      <c r="N20" s="20">
        <f t="shared" si="2"/>
        <v>1.6000000000000007E-2</v>
      </c>
      <c r="O20" s="20">
        <f t="shared" si="3"/>
        <v>1.6000000000000007E-2</v>
      </c>
      <c r="P20" s="20">
        <f t="shared" si="4"/>
        <v>1.6000000000000007E-2</v>
      </c>
    </row>
    <row r="21" spans="1:16" x14ac:dyDescent="0.25">
      <c r="A21" s="20">
        <f t="shared" si="5"/>
        <v>1.7000000000000008E-2</v>
      </c>
      <c r="B21" s="21">
        <f t="shared" si="0"/>
        <v>0.48910583218666659</v>
      </c>
      <c r="C21" s="21">
        <f t="shared" si="1"/>
        <v>0.25092220029050788</v>
      </c>
      <c r="N21" s="20">
        <f t="shared" si="2"/>
        <v>1.7000000000000008E-2</v>
      </c>
      <c r="O21" s="20">
        <f t="shared" si="3"/>
        <v>1.7000000000000008E-2</v>
      </c>
      <c r="P21" s="20">
        <f t="shared" si="4"/>
        <v>1.7000000000000008E-2</v>
      </c>
    </row>
    <row r="22" spans="1:16" x14ac:dyDescent="0.25">
      <c r="A22" s="20">
        <f t="shared" si="5"/>
        <v>1.8000000000000009E-2</v>
      </c>
      <c r="B22" s="21">
        <f t="shared" si="0"/>
        <v>0.48286528268900963</v>
      </c>
      <c r="C22" s="21">
        <f t="shared" si="1"/>
        <v>0.24815086034284212</v>
      </c>
      <c r="N22" s="20">
        <f t="shared" si="2"/>
        <v>1.8000000000000009E-2</v>
      </c>
      <c r="O22" s="20">
        <f t="shared" si="3"/>
        <v>1.8000000000000009E-2</v>
      </c>
      <c r="P22" s="20">
        <f t="shared" si="4"/>
        <v>1.8000000000000009E-2</v>
      </c>
    </row>
    <row r="23" spans="1:16" x14ac:dyDescent="0.25">
      <c r="A23" s="20">
        <f t="shared" si="5"/>
        <v>1.900000000000001E-2</v>
      </c>
      <c r="B23" s="21">
        <f t="shared" si="0"/>
        <v>0.4766549516950318</v>
      </c>
      <c r="C23" s="21">
        <f t="shared" si="1"/>
        <v>0.24539189494163322</v>
      </c>
      <c r="N23" s="20">
        <f t="shared" si="2"/>
        <v>1.900000000000001E-2</v>
      </c>
      <c r="O23" s="20">
        <f t="shared" si="3"/>
        <v>1.900000000000001E-2</v>
      </c>
      <c r="P23" s="20">
        <f t="shared" si="4"/>
        <v>1.900000000000001E-2</v>
      </c>
    </row>
    <row r="24" spans="1:16" x14ac:dyDescent="0.25">
      <c r="A24" s="20">
        <f t="shared" si="5"/>
        <v>2.0000000000000011E-2</v>
      </c>
      <c r="B24" s="21">
        <f t="shared" si="0"/>
        <v>0.47047465863006033</v>
      </c>
      <c r="C24" s="21">
        <f t="shared" si="1"/>
        <v>0.24264523264114984</v>
      </c>
      <c r="N24" s="20">
        <f t="shared" si="2"/>
        <v>2.0000000000000011E-2</v>
      </c>
      <c r="O24" s="20">
        <f t="shared" si="3"/>
        <v>2.0000000000000011E-2</v>
      </c>
      <c r="P24" s="20">
        <f t="shared" si="4"/>
        <v>2.0000000000000011E-2</v>
      </c>
    </row>
    <row r="25" spans="1:16" x14ac:dyDescent="0.25">
      <c r="A25" s="20">
        <f t="shared" si="5"/>
        <v>2.1000000000000012E-2</v>
      </c>
      <c r="B25" s="21">
        <f t="shared" si="0"/>
        <v>0.46432422419879904</v>
      </c>
      <c r="C25" s="21">
        <f t="shared" si="1"/>
        <v>0.23991080249109453</v>
      </c>
      <c r="N25" s="20">
        <f t="shared" si="2"/>
        <v>2.1000000000000012E-2</v>
      </c>
      <c r="O25" s="20">
        <f t="shared" si="3"/>
        <v>2.1000000000000012E-2</v>
      </c>
      <c r="P25" s="20">
        <f t="shared" si="4"/>
        <v>2.1000000000000012E-2</v>
      </c>
    </row>
    <row r="26" spans="1:16" x14ac:dyDescent="0.25">
      <c r="A26" s="20">
        <f t="shared" si="5"/>
        <v>2.2000000000000013E-2</v>
      </c>
      <c r="B26" s="21">
        <f t="shared" si="0"/>
        <v>0.45820347037488296</v>
      </c>
      <c r="C26" s="21">
        <f t="shared" si="1"/>
        <v>0.23718853403262305</v>
      </c>
      <c r="N26" s="20">
        <f t="shared" si="2"/>
        <v>2.2000000000000013E-2</v>
      </c>
      <c r="O26" s="20">
        <f t="shared" si="3"/>
        <v>2.2000000000000013E-2</v>
      </c>
      <c r="P26" s="20">
        <f t="shared" si="4"/>
        <v>2.2000000000000013E-2</v>
      </c>
    </row>
    <row r="27" spans="1:16" x14ac:dyDescent="0.25">
      <c r="A27" s="20">
        <f t="shared" si="5"/>
        <v>2.3000000000000013E-2</v>
      </c>
      <c r="B27" s="21">
        <f t="shared" si="0"/>
        <v>0.45211222039054233</v>
      </c>
      <c r="C27" s="21">
        <f t="shared" si="1"/>
        <v>0.23447835729440791</v>
      </c>
      <c r="N27" s="20">
        <f t="shared" si="2"/>
        <v>2.3000000000000013E-2</v>
      </c>
      <c r="O27" s="20">
        <f t="shared" si="3"/>
        <v>2.3000000000000013E-2</v>
      </c>
      <c r="P27" s="20">
        <f t="shared" si="4"/>
        <v>2.3000000000000013E-2</v>
      </c>
    </row>
    <row r="28" spans="1:16" x14ac:dyDescent="0.25">
      <c r="A28" s="20">
        <f t="shared" si="5"/>
        <v>2.4000000000000014E-2</v>
      </c>
      <c r="B28" s="21">
        <f t="shared" si="0"/>
        <v>0.4460502987263435</v>
      </c>
      <c r="C28" s="21">
        <f t="shared" si="1"/>
        <v>0.23178020278872857</v>
      </c>
      <c r="N28" s="20">
        <f t="shared" si="2"/>
        <v>2.4000000000000014E-2</v>
      </c>
      <c r="O28" s="20">
        <f t="shared" si="3"/>
        <v>2.4000000000000014E-2</v>
      </c>
      <c r="P28" s="20">
        <f t="shared" si="4"/>
        <v>2.4000000000000014E-2</v>
      </c>
    </row>
    <row r="29" spans="1:16" x14ac:dyDescent="0.25">
      <c r="A29" s="20">
        <f t="shared" si="5"/>
        <v>2.5000000000000015E-2</v>
      </c>
      <c r="B29" s="21">
        <f t="shared" si="0"/>
        <v>0.44001753110104591</v>
      </c>
      <c r="C29" s="21">
        <f t="shared" si="1"/>
        <v>0.229094001507607</v>
      </c>
      <c r="N29" s="20">
        <f t="shared" si="2"/>
        <v>2.5000000000000015E-2</v>
      </c>
      <c r="O29" s="20">
        <f t="shared" si="3"/>
        <v>2.5000000000000015E-2</v>
      </c>
      <c r="P29" s="20">
        <f t="shared" si="4"/>
        <v>2.5000000000000015E-2</v>
      </c>
    </row>
    <row r="30" spans="1:16" x14ac:dyDescent="0.25">
      <c r="A30" s="20">
        <f t="shared" si="5"/>
        <v>2.6000000000000016E-2</v>
      </c>
      <c r="B30" s="21">
        <f t="shared" si="0"/>
        <v>0.43401374446153085</v>
      </c>
      <c r="C30" s="21">
        <f t="shared" si="1"/>
        <v>0.22641968491896841</v>
      </c>
      <c r="N30" s="20">
        <f t="shared" si="2"/>
        <v>2.6000000000000016E-2</v>
      </c>
      <c r="O30" s="20">
        <f t="shared" si="3"/>
        <v>2.6000000000000016E-2</v>
      </c>
      <c r="P30" s="20">
        <f t="shared" si="4"/>
        <v>2.6000000000000016E-2</v>
      </c>
    </row>
    <row r="31" spans="1:16" x14ac:dyDescent="0.25">
      <c r="A31" s="20">
        <f t="shared" si="5"/>
        <v>2.7000000000000017E-2</v>
      </c>
      <c r="B31" s="21">
        <f t="shared" si="0"/>
        <v>0.4280387669728396</v>
      </c>
      <c r="C31" s="21">
        <f t="shared" si="1"/>
        <v>0.22375718496284569</v>
      </c>
      <c r="N31" s="20">
        <f t="shared" si="2"/>
        <v>2.7000000000000017E-2</v>
      </c>
      <c r="O31" s="20">
        <f t="shared" si="3"/>
        <v>2.7000000000000017E-2</v>
      </c>
      <c r="P31" s="20">
        <f t="shared" si="4"/>
        <v>2.7000000000000017E-2</v>
      </c>
    </row>
    <row r="32" spans="1:16" x14ac:dyDescent="0.25">
      <c r="A32" s="20">
        <f t="shared" si="5"/>
        <v>2.8000000000000018E-2</v>
      </c>
      <c r="B32" s="21">
        <f t="shared" si="0"/>
        <v>0.42209242800829072</v>
      </c>
      <c r="C32" s="21">
        <f t="shared" si="1"/>
        <v>0.2211064340476096</v>
      </c>
      <c r="N32" s="20">
        <f t="shared" si="2"/>
        <v>2.8000000000000018E-2</v>
      </c>
      <c r="O32" s="20">
        <f t="shared" si="3"/>
        <v>2.8000000000000018E-2</v>
      </c>
      <c r="P32" s="20">
        <f t="shared" si="4"/>
        <v>2.8000000000000018E-2</v>
      </c>
    </row>
    <row r="33" spans="1:16" x14ac:dyDescent="0.25">
      <c r="A33" s="20">
        <f t="shared" si="5"/>
        <v>2.9000000000000019E-2</v>
      </c>
      <c r="B33" s="21">
        <f t="shared" si="0"/>
        <v>0.41617455813969761</v>
      </c>
      <c r="C33" s="21">
        <f t="shared" si="1"/>
        <v>0.21846736504624187</v>
      </c>
      <c r="N33" s="20">
        <f t="shared" si="2"/>
        <v>2.9000000000000019E-2</v>
      </c>
      <c r="O33" s="20">
        <f t="shared" si="3"/>
        <v>2.9000000000000019E-2</v>
      </c>
      <c r="P33" s="20">
        <f t="shared" si="4"/>
        <v>2.9000000000000019E-2</v>
      </c>
    </row>
    <row r="34" spans="1:16" x14ac:dyDescent="0.25">
      <c r="A34" s="20">
        <f t="shared" si="5"/>
        <v>3.000000000000002E-2</v>
      </c>
      <c r="B34" s="21">
        <f t="shared" si="0"/>
        <v>0.41028498912766631</v>
      </c>
      <c r="C34" s="21">
        <f t="shared" si="1"/>
        <v>0.21583991129263264</v>
      </c>
      <c r="N34" s="20">
        <f t="shared" si="2"/>
        <v>3.000000000000002E-2</v>
      </c>
      <c r="O34" s="20">
        <f t="shared" si="3"/>
        <v>3.000000000000002E-2</v>
      </c>
      <c r="P34" s="20">
        <f t="shared" si="4"/>
        <v>3.000000000000002E-2</v>
      </c>
    </row>
    <row r="35" spans="1:16" x14ac:dyDescent="0.25">
      <c r="A35" s="20">
        <f t="shared" si="5"/>
        <v>3.1000000000000021E-2</v>
      </c>
      <c r="B35" s="21">
        <f t="shared" si="0"/>
        <v>0.40442355391198936</v>
      </c>
      <c r="C35" s="21">
        <f t="shared" si="1"/>
        <v>0.2132240065779207</v>
      </c>
      <c r="N35" s="20">
        <f t="shared" si="2"/>
        <v>3.1000000000000021E-2</v>
      </c>
      <c r="O35" s="20">
        <f t="shared" si="3"/>
        <v>3.1000000000000021E-2</v>
      </c>
      <c r="P35" s="20">
        <f t="shared" si="4"/>
        <v>3.1000000000000021E-2</v>
      </c>
    </row>
    <row r="36" spans="1:16" x14ac:dyDescent="0.25">
      <c r="A36" s="20">
        <f t="shared" si="5"/>
        <v>3.2000000000000021E-2</v>
      </c>
      <c r="B36" s="21">
        <f t="shared" si="0"/>
        <v>0.39859008660212147</v>
      </c>
      <c r="C36" s="21">
        <f t="shared" si="1"/>
        <v>0.2106195851468563</v>
      </c>
      <c r="N36" s="20">
        <f t="shared" si="2"/>
        <v>3.2000000000000021E-2</v>
      </c>
      <c r="O36" s="20">
        <f t="shared" si="3"/>
        <v>3.2000000000000021E-2</v>
      </c>
      <c r="P36" s="20">
        <f t="shared" si="4"/>
        <v>3.2000000000000021E-2</v>
      </c>
    </row>
    <row r="37" spans="1:16" x14ac:dyDescent="0.25">
      <c r="A37" s="20">
        <f t="shared" si="5"/>
        <v>3.3000000000000022E-2</v>
      </c>
      <c r="B37" s="21">
        <f t="shared" si="0"/>
        <v>0.39278442246774992</v>
      </c>
      <c r="C37" s="21">
        <f t="shared" si="1"/>
        <v>0.20802658169420832</v>
      </c>
      <c r="N37" s="20">
        <f t="shared" si="2"/>
        <v>3.3000000000000022E-2</v>
      </c>
      <c r="O37" s="20">
        <f t="shared" si="3"/>
        <v>3.3000000000000022E-2</v>
      </c>
      <c r="P37" s="20">
        <f t="shared" si="4"/>
        <v>3.3000000000000022E-2</v>
      </c>
    </row>
    <row r="38" spans="1:16" x14ac:dyDescent="0.25">
      <c r="A38" s="20">
        <f t="shared" si="5"/>
        <v>3.4000000000000023E-2</v>
      </c>
      <c r="B38" s="21">
        <f t="shared" si="0"/>
        <v>0.38700639792943781</v>
      </c>
      <c r="C38" s="21">
        <f t="shared" si="1"/>
        <v>0.20544493136119224</v>
      </c>
      <c r="N38" s="20">
        <f t="shared" si="2"/>
        <v>3.4000000000000023E-2</v>
      </c>
      <c r="O38" s="20">
        <f t="shared" si="3"/>
        <v>3.4000000000000023E-2</v>
      </c>
      <c r="P38" s="20">
        <f t="shared" si="4"/>
        <v>3.4000000000000023E-2</v>
      </c>
    </row>
    <row r="39" spans="1:16" x14ac:dyDescent="0.25">
      <c r="A39" s="20">
        <f t="shared" si="5"/>
        <v>3.5000000000000024E-2</v>
      </c>
      <c r="B39" s="21">
        <f t="shared" si="0"/>
        <v>0.38125585054936861</v>
      </c>
      <c r="C39" s="21">
        <f t="shared" si="1"/>
        <v>0.20287456973193921</v>
      </c>
      <c r="N39" s="20">
        <f t="shared" si="2"/>
        <v>3.5000000000000024E-2</v>
      </c>
      <c r="O39" s="20">
        <f t="shared" si="3"/>
        <v>3.5000000000000024E-2</v>
      </c>
      <c r="P39" s="20">
        <f t="shared" si="4"/>
        <v>3.5000000000000024E-2</v>
      </c>
    </row>
    <row r="40" spans="1:16" x14ac:dyDescent="0.25">
      <c r="A40" s="20">
        <f t="shared" si="5"/>
        <v>3.6000000000000025E-2</v>
      </c>
      <c r="B40" s="21">
        <f t="shared" si="0"/>
        <v>0.37553261902215906</v>
      </c>
      <c r="C40" s="21">
        <f t="shared" si="1"/>
        <v>0.20031543282999043</v>
      </c>
      <c r="N40" s="20">
        <f t="shared" si="2"/>
        <v>3.6000000000000025E-2</v>
      </c>
      <c r="O40" s="20">
        <f t="shared" si="3"/>
        <v>3.6000000000000025E-2</v>
      </c>
      <c r="P40" s="20">
        <f t="shared" si="4"/>
        <v>3.6000000000000025E-2</v>
      </c>
    </row>
    <row r="41" spans="1:16" x14ac:dyDescent="0.25">
      <c r="A41" s="20">
        <f t="shared" si="5"/>
        <v>3.7000000000000026E-2</v>
      </c>
      <c r="B41" s="21">
        <f t="shared" si="0"/>
        <v>0.36983654316577108</v>
      </c>
      <c r="C41" s="21">
        <f t="shared" si="1"/>
        <v>0.19776745711482807</v>
      </c>
      <c r="N41" s="20">
        <f t="shared" si="2"/>
        <v>3.7000000000000026E-2</v>
      </c>
      <c r="O41" s="20">
        <f t="shared" si="3"/>
        <v>3.7000000000000026E-2</v>
      </c>
      <c r="P41" s="20">
        <f t="shared" si="4"/>
        <v>3.7000000000000026E-2</v>
      </c>
    </row>
    <row r="42" spans="1:16" x14ac:dyDescent="0.25">
      <c r="A42" s="20">
        <f t="shared" si="5"/>
        <v>3.8000000000000027E-2</v>
      </c>
      <c r="B42" s="21">
        <f t="shared" si="0"/>
        <v>0.36416746391248811</v>
      </c>
      <c r="C42" s="21">
        <f t="shared" si="1"/>
        <v>0.19523057947843125</v>
      </c>
      <c r="N42" s="20">
        <f t="shared" si="2"/>
        <v>3.8000000000000027E-2</v>
      </c>
      <c r="O42" s="20">
        <f t="shared" si="3"/>
        <v>3.8000000000000027E-2</v>
      </c>
      <c r="P42" s="20">
        <f t="shared" si="4"/>
        <v>3.8000000000000027E-2</v>
      </c>
    </row>
    <row r="43" spans="1:16" x14ac:dyDescent="0.25">
      <c r="A43" s="20">
        <f t="shared" si="5"/>
        <v>3.9000000000000028E-2</v>
      </c>
      <c r="B43" s="21">
        <f t="shared" si="0"/>
        <v>0.35852522329999181</v>
      </c>
      <c r="C43" s="21">
        <f t="shared" si="1"/>
        <v>0.19270473724187098</v>
      </c>
      <c r="N43" s="20">
        <f t="shared" si="2"/>
        <v>3.9000000000000028E-2</v>
      </c>
      <c r="O43" s="20">
        <f t="shared" si="3"/>
        <v>3.9000000000000028E-2</v>
      </c>
      <c r="P43" s="20">
        <f t="shared" si="4"/>
        <v>3.9000000000000028E-2</v>
      </c>
    </row>
    <row r="44" spans="1:16" x14ac:dyDescent="0.25">
      <c r="A44" s="20">
        <f t="shared" si="5"/>
        <v>4.0000000000000029E-2</v>
      </c>
      <c r="B44" s="21">
        <f t="shared" si="0"/>
        <v>0.3529096644625036</v>
      </c>
      <c r="C44" s="21">
        <f t="shared" si="1"/>
        <v>0.19018986815192507</v>
      </c>
      <c r="N44" s="20">
        <f t="shared" si="2"/>
        <v>4.0000000000000029E-2</v>
      </c>
      <c r="O44" s="20">
        <f t="shared" si="3"/>
        <v>4.0000000000000029E-2</v>
      </c>
      <c r="P44" s="20">
        <f t="shared" si="4"/>
        <v>4.0000000000000029E-2</v>
      </c>
    </row>
    <row r="45" spans="1:16" x14ac:dyDescent="0.25">
      <c r="A45" s="20">
        <f t="shared" si="5"/>
        <v>4.1000000000000029E-2</v>
      </c>
      <c r="B45" s="21">
        <f t="shared" si="0"/>
        <v>0.34732063162202143</v>
      </c>
      <c r="C45" s="21">
        <f t="shared" si="1"/>
        <v>0.18768591037773405</v>
      </c>
      <c r="N45" s="20">
        <f t="shared" si="2"/>
        <v>4.1000000000000029E-2</v>
      </c>
      <c r="O45" s="20">
        <f t="shared" si="3"/>
        <v>4.1000000000000029E-2</v>
      </c>
      <c r="P45" s="20">
        <f t="shared" si="4"/>
        <v>4.1000000000000029E-2</v>
      </c>
    </row>
    <row r="46" spans="1:16" x14ac:dyDescent="0.25">
      <c r="A46" s="20">
        <f t="shared" si="5"/>
        <v>4.200000000000003E-2</v>
      </c>
      <c r="B46" s="21">
        <f t="shared" si="0"/>
        <v>0.34175797007961717</v>
      </c>
      <c r="C46" s="21">
        <f t="shared" si="1"/>
        <v>0.18519280250747736</v>
      </c>
      <c r="N46" s="20">
        <f t="shared" si="2"/>
        <v>4.200000000000003E-2</v>
      </c>
      <c r="O46" s="20">
        <f t="shared" si="3"/>
        <v>4.200000000000003E-2</v>
      </c>
      <c r="P46" s="20">
        <f t="shared" si="4"/>
        <v>4.200000000000003E-2</v>
      </c>
    </row>
    <row r="47" spans="1:16" x14ac:dyDescent="0.25">
      <c r="A47" s="20">
        <f t="shared" si="5"/>
        <v>4.3000000000000031E-2</v>
      </c>
      <c r="B47" s="21">
        <f t="shared" si="0"/>
        <v>0.33622152620683488</v>
      </c>
      <c r="C47" s="21">
        <f t="shared" si="1"/>
        <v>0.18271048354508723</v>
      </c>
      <c r="N47" s="20">
        <f t="shared" si="2"/>
        <v>4.3000000000000031E-2</v>
      </c>
      <c r="O47" s="20">
        <f t="shared" si="3"/>
        <v>4.3000000000000031E-2</v>
      </c>
      <c r="P47" s="20">
        <f t="shared" si="4"/>
        <v>4.3000000000000031E-2</v>
      </c>
    </row>
    <row r="48" spans="1:16" x14ac:dyDescent="0.25">
      <c r="A48" s="20">
        <f t="shared" si="5"/>
        <v>4.4000000000000032E-2</v>
      </c>
      <c r="B48" s="21">
        <f t="shared" si="0"/>
        <v>0.33071114743714092</v>
      </c>
      <c r="C48" s="21">
        <f t="shared" si="1"/>
        <v>0.18023889290698386</v>
      </c>
      <c r="N48" s="20">
        <f t="shared" si="2"/>
        <v>4.4000000000000032E-2</v>
      </c>
      <c r="O48" s="20">
        <f t="shared" si="3"/>
        <v>4.4000000000000032E-2</v>
      </c>
      <c r="P48" s="20">
        <f t="shared" si="4"/>
        <v>4.4000000000000032E-2</v>
      </c>
    </row>
    <row r="49" spans="1:16" x14ac:dyDescent="0.25">
      <c r="A49" s="20">
        <f t="shared" si="5"/>
        <v>4.5000000000000033E-2</v>
      </c>
      <c r="B49" s="21">
        <f t="shared" si="0"/>
        <v>0.32522668225747942</v>
      </c>
      <c r="C49" s="21">
        <f t="shared" si="1"/>
        <v>0.17777797041884846</v>
      </c>
      <c r="N49" s="20">
        <f t="shared" si="2"/>
        <v>4.5000000000000033E-2</v>
      </c>
      <c r="O49" s="20">
        <f t="shared" si="3"/>
        <v>4.5000000000000033E-2</v>
      </c>
      <c r="P49" s="20">
        <f t="shared" si="4"/>
        <v>4.5000000000000033E-2</v>
      </c>
    </row>
    <row r="50" spans="1:16" x14ac:dyDescent="0.25">
      <c r="A50" s="20">
        <f t="shared" si="5"/>
        <v>4.6000000000000034E-2</v>
      </c>
      <c r="B50" s="21">
        <f t="shared" si="0"/>
        <v>0.31976798019987585</v>
      </c>
      <c r="C50" s="21">
        <f t="shared" si="1"/>
        <v>0.1753276563124147</v>
      </c>
      <c r="N50" s="20">
        <f t="shared" si="2"/>
        <v>4.6000000000000034E-2</v>
      </c>
      <c r="O50" s="20">
        <f t="shared" si="3"/>
        <v>4.6000000000000034E-2</v>
      </c>
      <c r="P50" s="20">
        <f t="shared" si="4"/>
        <v>4.6000000000000034E-2</v>
      </c>
    </row>
    <row r="51" spans="1:16" x14ac:dyDescent="0.25">
      <c r="A51" s="20">
        <f t="shared" si="5"/>
        <v>4.7000000000000035E-2</v>
      </c>
      <c r="B51" s="21">
        <f t="shared" si="0"/>
        <v>0.31433489183314101</v>
      </c>
      <c r="C51" s="21">
        <f t="shared" si="1"/>
        <v>0.17288789122229958</v>
      </c>
      <c r="N51" s="20">
        <f t="shared" si="2"/>
        <v>4.7000000000000035E-2</v>
      </c>
      <c r="O51" s="20">
        <f t="shared" si="3"/>
        <v>4.7000000000000035E-2</v>
      </c>
      <c r="P51" s="20">
        <f t="shared" si="4"/>
        <v>4.7000000000000035E-2</v>
      </c>
    </row>
    <row r="52" spans="1:16" x14ac:dyDescent="0.25">
      <c r="A52" s="20">
        <f t="shared" si="5"/>
        <v>4.8000000000000036E-2</v>
      </c>
      <c r="B52" s="21">
        <f t="shared" si="0"/>
        <v>0.30892726875462495</v>
      </c>
      <c r="C52" s="21">
        <f t="shared" si="1"/>
        <v>0.17045861618285121</v>
      </c>
      <c r="N52" s="20">
        <f t="shared" si="2"/>
        <v>4.8000000000000036E-2</v>
      </c>
      <c r="O52" s="20">
        <f t="shared" si="3"/>
        <v>4.8000000000000036E-2</v>
      </c>
      <c r="P52" s="20">
        <f t="shared" si="4"/>
        <v>4.8000000000000036E-2</v>
      </c>
    </row>
    <row r="53" spans="1:16" x14ac:dyDescent="0.25">
      <c r="A53" s="20">
        <f t="shared" si="5"/>
        <v>4.9000000000000037E-2</v>
      </c>
      <c r="B53" s="21">
        <f t="shared" si="0"/>
        <v>0.30354496358207195</v>
      </c>
      <c r="C53" s="21">
        <f t="shared" si="1"/>
        <v>0.16803977262503544</v>
      </c>
      <c r="N53" s="20">
        <f t="shared" si="2"/>
        <v>4.9000000000000037E-2</v>
      </c>
      <c r="O53" s="20">
        <f t="shared" si="3"/>
        <v>4.9000000000000037E-2</v>
      </c>
      <c r="P53" s="20">
        <f t="shared" si="4"/>
        <v>4.9000000000000037E-2</v>
      </c>
    </row>
    <row r="54" spans="1:16" x14ac:dyDescent="0.25">
      <c r="A54" s="20">
        <f t="shared" si="5"/>
        <v>5.0000000000000037E-2</v>
      </c>
      <c r="B54" s="21">
        <f t="shared" si="0"/>
        <v>0.29818782994551984</v>
      </c>
      <c r="C54" s="21">
        <f t="shared" si="1"/>
        <v>0.16563130237333945</v>
      </c>
      <c r="N54" s="20">
        <f t="shared" si="2"/>
        <v>5.0000000000000037E-2</v>
      </c>
      <c r="O54" s="20">
        <f t="shared" si="3"/>
        <v>5.0000000000000037E-2</v>
      </c>
      <c r="P54" s="20">
        <f t="shared" si="4"/>
        <v>5.0000000000000037E-2</v>
      </c>
    </row>
    <row r="55" spans="1:16" x14ac:dyDescent="0.25">
      <c r="A55" s="20">
        <f t="shared" si="5"/>
        <v>5.1000000000000038E-2</v>
      </c>
      <c r="B55" s="21">
        <f t="shared" si="0"/>
        <v>0.29285572247929759</v>
      </c>
      <c r="C55" s="21">
        <f t="shared" si="1"/>
        <v>0.16323314764271288</v>
      </c>
      <c r="N55" s="20">
        <f t="shared" si="2"/>
        <v>5.1000000000000038E-2</v>
      </c>
      <c r="O55" s="20">
        <f t="shared" si="3"/>
        <v>5.1000000000000038E-2</v>
      </c>
      <c r="P55" s="20">
        <f t="shared" si="4"/>
        <v>5.1000000000000038E-2</v>
      </c>
    </row>
    <row r="56" spans="1:16" x14ac:dyDescent="0.25">
      <c r="A56" s="20">
        <f t="shared" si="5"/>
        <v>5.2000000000000039E-2</v>
      </c>
      <c r="B56" s="21">
        <f t="shared" si="0"/>
        <v>0.28754849681407491</v>
      </c>
      <c r="C56" s="21">
        <f t="shared" si="1"/>
        <v>0.16084525103552516</v>
      </c>
      <c r="N56" s="20">
        <f t="shared" si="2"/>
        <v>5.2000000000000039E-2</v>
      </c>
      <c r="O56" s="20">
        <f t="shared" si="3"/>
        <v>5.2000000000000039E-2</v>
      </c>
      <c r="P56" s="20">
        <f t="shared" si="4"/>
        <v>5.2000000000000039E-2</v>
      </c>
    </row>
    <row r="57" spans="1:16" x14ac:dyDescent="0.25">
      <c r="A57" s="20">
        <f t="shared" si="5"/>
        <v>5.300000000000004E-2</v>
      </c>
      <c r="B57" s="21">
        <f t="shared" si="0"/>
        <v>0.28226600956899617</v>
      </c>
      <c r="C57" s="21">
        <f t="shared" si="1"/>
        <v>0.15846755553856123</v>
      </c>
      <c r="N57" s="20">
        <f t="shared" si="2"/>
        <v>5.300000000000004E-2</v>
      </c>
      <c r="O57" s="20">
        <f t="shared" si="3"/>
        <v>5.300000000000004E-2</v>
      </c>
      <c r="P57" s="20">
        <f t="shared" si="4"/>
        <v>5.300000000000004E-2</v>
      </c>
    </row>
    <row r="58" spans="1:16" x14ac:dyDescent="0.25">
      <c r="A58" s="20">
        <f t="shared" si="5"/>
        <v>5.4000000000000041E-2</v>
      </c>
      <c r="B58" s="21">
        <f t="shared" si="0"/>
        <v>0.2770081183438744</v>
      </c>
      <c r="C58" s="21">
        <f t="shared" si="1"/>
        <v>0.15610000452003248</v>
      </c>
      <c r="N58" s="20">
        <f t="shared" si="2"/>
        <v>5.4000000000000041E-2</v>
      </c>
      <c r="O58" s="20">
        <f t="shared" si="3"/>
        <v>5.4000000000000041E-2</v>
      </c>
      <c r="P58" s="20">
        <f t="shared" si="4"/>
        <v>5.4000000000000041E-2</v>
      </c>
    </row>
    <row r="59" spans="1:16" x14ac:dyDescent="0.25">
      <c r="A59" s="20">
        <f t="shared" si="5"/>
        <v>5.5000000000000042E-2</v>
      </c>
      <c r="B59" s="21">
        <f t="shared" si="0"/>
        <v>0.27177468171146457</v>
      </c>
      <c r="C59" s="21">
        <f t="shared" si="1"/>
        <v>0.15374254172662372</v>
      </c>
      <c r="N59" s="20">
        <f t="shared" si="2"/>
        <v>5.5000000000000042E-2</v>
      </c>
      <c r="O59" s="20">
        <f t="shared" si="3"/>
        <v>5.5000000000000042E-2</v>
      </c>
      <c r="P59" s="20">
        <f t="shared" si="4"/>
        <v>5.5000000000000042E-2</v>
      </c>
    </row>
    <row r="60" spans="1:16" x14ac:dyDescent="0.25">
      <c r="A60" s="20">
        <f t="shared" si="5"/>
        <v>5.6000000000000043E-2</v>
      </c>
      <c r="B60" s="21">
        <f t="shared" si="0"/>
        <v>0.26656555920979619</v>
      </c>
      <c r="C60" s="21">
        <f t="shared" si="1"/>
        <v>0.15139511128055683</v>
      </c>
      <c r="N60" s="20">
        <f t="shared" si="2"/>
        <v>5.6000000000000043E-2</v>
      </c>
      <c r="O60" s="20">
        <f t="shared" si="3"/>
        <v>5.6000000000000043E-2</v>
      </c>
      <c r="P60" s="20">
        <f t="shared" si="4"/>
        <v>5.6000000000000043E-2</v>
      </c>
    </row>
    <row r="61" spans="1:16" x14ac:dyDescent="0.25">
      <c r="A61" s="20">
        <f t="shared" si="5"/>
        <v>5.7000000000000044E-2</v>
      </c>
      <c r="B61" s="21">
        <f t="shared" si="0"/>
        <v>0.26138061133458224</v>
      </c>
      <c r="C61" s="21">
        <f t="shared" si="1"/>
        <v>0.14905765767669005</v>
      </c>
      <c r="N61" s="20">
        <f t="shared" si="2"/>
        <v>5.7000000000000044E-2</v>
      </c>
      <c r="O61" s="20">
        <f t="shared" si="3"/>
        <v>5.7000000000000044E-2</v>
      </c>
      <c r="P61" s="20">
        <f t="shared" si="4"/>
        <v>5.7000000000000044E-2</v>
      </c>
    </row>
    <row r="62" spans="1:16" x14ac:dyDescent="0.25">
      <c r="A62" s="20">
        <f t="shared" si="5"/>
        <v>5.8000000000000045E-2</v>
      </c>
      <c r="B62" s="21">
        <f t="shared" si="0"/>
        <v>0.25621969953168833</v>
      </c>
      <c r="C62" s="21">
        <f t="shared" si="1"/>
        <v>0.1467301257796336</v>
      </c>
      <c r="N62" s="20">
        <f t="shared" si="2"/>
        <v>5.8000000000000045E-2</v>
      </c>
      <c r="O62" s="20">
        <f t="shared" si="3"/>
        <v>5.8000000000000045E-2</v>
      </c>
      <c r="P62" s="20">
        <f t="shared" si="4"/>
        <v>5.8000000000000045E-2</v>
      </c>
    </row>
    <row r="63" spans="1:16" x14ac:dyDescent="0.25">
      <c r="A63" s="20">
        <f t="shared" si="5"/>
        <v>5.9000000000000045E-2</v>
      </c>
      <c r="B63" s="21">
        <f t="shared" si="0"/>
        <v>0.25108268618967555</v>
      </c>
      <c r="C63" s="21">
        <f t="shared" si="1"/>
        <v>0.1444124608208964</v>
      </c>
      <c r="N63" s="20">
        <f t="shared" si="2"/>
        <v>5.9000000000000045E-2</v>
      </c>
      <c r="O63" s="20">
        <f t="shared" si="3"/>
        <v>5.9000000000000045E-2</v>
      </c>
      <c r="P63" s="20">
        <f t="shared" si="4"/>
        <v>5.9000000000000045E-2</v>
      </c>
    </row>
    <row r="64" spans="1:16" x14ac:dyDescent="0.25">
      <c r="A64" s="20">
        <f t="shared" si="5"/>
        <v>6.0000000000000046E-2</v>
      </c>
      <c r="B64" s="21">
        <f t="shared" si="0"/>
        <v>0.24596943463240395</v>
      </c>
      <c r="C64" s="21">
        <f t="shared" si="1"/>
        <v>0.14210460839605482</v>
      </c>
      <c r="N64" s="20">
        <f t="shared" si="2"/>
        <v>6.0000000000000046E-2</v>
      </c>
      <c r="O64" s="20">
        <f t="shared" si="3"/>
        <v>6.0000000000000046E-2</v>
      </c>
      <c r="P64" s="20">
        <f t="shared" si="4"/>
        <v>6.0000000000000046E-2</v>
      </c>
    </row>
    <row r="65" spans="1:16" x14ac:dyDescent="0.25">
      <c r="A65" s="20">
        <f t="shared" si="5"/>
        <v>6.1000000000000047E-2</v>
      </c>
      <c r="B65" s="21">
        <f t="shared" si="0"/>
        <v>0.24087980911170548</v>
      </c>
      <c r="C65" s="21">
        <f t="shared" si="1"/>
        <v>0.13980651446194894</v>
      </c>
      <c r="N65" s="20">
        <f t="shared" si="2"/>
        <v>6.1000000000000047E-2</v>
      </c>
      <c r="O65" s="20">
        <f t="shared" si="3"/>
        <v>6.1000000000000047E-2</v>
      </c>
      <c r="P65" s="20">
        <f t="shared" si="4"/>
        <v>6.1000000000000047E-2</v>
      </c>
    </row>
    <row r="66" spans="1:16" x14ac:dyDescent="0.25">
      <c r="A66" s="20">
        <f t="shared" si="5"/>
        <v>6.2000000000000048E-2</v>
      </c>
      <c r="B66" s="21">
        <f t="shared" si="0"/>
        <v>0.23581367480011695</v>
      </c>
      <c r="C66" s="21">
        <f t="shared" si="1"/>
        <v>0.13751812533389818</v>
      </c>
      <c r="N66" s="20">
        <f t="shared" si="2"/>
        <v>6.2000000000000048E-2</v>
      </c>
      <c r="O66" s="20">
        <f t="shared" si="3"/>
        <v>6.2000000000000048E-2</v>
      </c>
      <c r="P66" s="20">
        <f t="shared" si="4"/>
        <v>6.2000000000000048E-2</v>
      </c>
    </row>
    <row r="67" spans="1:16" x14ac:dyDescent="0.25">
      <c r="A67" s="20">
        <f t="shared" si="5"/>
        <v>6.3000000000000042E-2</v>
      </c>
      <c r="B67" s="21">
        <f t="shared" si="0"/>
        <v>0.23077089778368576</v>
      </c>
      <c r="C67" s="21">
        <f t="shared" si="1"/>
        <v>0.13523938768294919</v>
      </c>
      <c r="N67" s="20">
        <f t="shared" si="2"/>
        <v>6.3000000000000042E-2</v>
      </c>
      <c r="O67" s="20">
        <f t="shared" si="3"/>
        <v>6.3000000000000042E-2</v>
      </c>
      <c r="P67" s="20">
        <f t="shared" si="4"/>
        <v>6.3000000000000042E-2</v>
      </c>
    </row>
    <row r="68" spans="1:16" x14ac:dyDescent="0.25">
      <c r="A68" s="20">
        <f t="shared" si="5"/>
        <v>6.4000000000000043E-2</v>
      </c>
      <c r="B68" s="21">
        <f t="shared" si="0"/>
        <v>0.22575134505482586</v>
      </c>
      <c r="C68" s="21">
        <f t="shared" si="1"/>
        <v>0.13297024853313771</v>
      </c>
      <c r="N68" s="20">
        <f t="shared" si="2"/>
        <v>6.4000000000000043E-2</v>
      </c>
      <c r="O68" s="20">
        <f t="shared" si="3"/>
        <v>6.4000000000000043E-2</v>
      </c>
      <c r="P68" s="20">
        <f t="shared" si="4"/>
        <v>6.4000000000000043E-2</v>
      </c>
    </row>
    <row r="69" spans="1:16" x14ac:dyDescent="0.25">
      <c r="A69" s="20">
        <f t="shared" si="5"/>
        <v>6.5000000000000044E-2</v>
      </c>
      <c r="B69" s="21">
        <f t="shared" ref="B69:B132" si="6">-1-0.4*(1+A69)^(-0.5)+0.5*((1+A69)^(-2)+(1+A69)^(-3)+(1+A69)^(-4)+(1+A69)^(-5))</f>
        <v>0.22075488450525516</v>
      </c>
      <c r="C69" s="21">
        <f t="shared" ref="C69:C132" si="7">-0.8+0.2*((1+A69)^(-0.5)+(1+A69)^(-1.5)+(1+A69)^(-2.5)+(1+A69)^(-3.5)+(1+A69)^(-4.5))+0.1*(1+A69)^(-5)</f>
        <v>0.1307106552587852</v>
      </c>
      <c r="N69" s="20">
        <f t="shared" ref="N69:N132" si="8">IF(B69&gt;0,A69,"")</f>
        <v>6.5000000000000044E-2</v>
      </c>
      <c r="O69" s="20">
        <f t="shared" ref="O69:O132" si="9">IF(C69&gt;0,A69,"")</f>
        <v>6.5000000000000044E-2</v>
      </c>
      <c r="P69" s="20">
        <f t="shared" ref="P69:P132" si="10">IF(B69&gt;C69,A69,"")</f>
        <v>6.5000000000000044E-2</v>
      </c>
    </row>
    <row r="70" spans="1:16" x14ac:dyDescent="0.25">
      <c r="A70" s="20">
        <f t="shared" ref="A70:A133" si="11">A69+0.001</f>
        <v>6.6000000000000045E-2</v>
      </c>
      <c r="B70" s="21">
        <f t="shared" si="6"/>
        <v>0.21578138491897181</v>
      </c>
      <c r="C70" s="21">
        <f t="shared" si="7"/>
        <v>0.12846055558180755</v>
      </c>
      <c r="N70" s="20">
        <f t="shared" si="8"/>
        <v>6.6000000000000045E-2</v>
      </c>
      <c r="O70" s="20">
        <f t="shared" si="9"/>
        <v>6.6000000000000045E-2</v>
      </c>
      <c r="P70" s="20">
        <f t="shared" si="10"/>
        <v>6.6000000000000045E-2</v>
      </c>
    </row>
    <row r="71" spans="1:16" x14ac:dyDescent="0.25">
      <c r="A71" s="20">
        <f t="shared" si="11"/>
        <v>6.7000000000000046E-2</v>
      </c>
      <c r="B71" s="21">
        <f t="shared" si="6"/>
        <v>0.21083071596531822</v>
      </c>
      <c r="C71" s="21">
        <f t="shared" si="7"/>
        <v>0.12621989756905894</v>
      </c>
      <c r="N71" s="20">
        <f t="shared" si="8"/>
        <v>6.7000000000000046E-2</v>
      </c>
      <c r="O71" s="20">
        <f t="shared" si="9"/>
        <v>6.7000000000000046E-2</v>
      </c>
      <c r="P71" s="20">
        <f t="shared" si="10"/>
        <v>6.7000000000000046E-2</v>
      </c>
    </row>
    <row r="72" spans="1:16" x14ac:dyDescent="0.25">
      <c r="A72" s="20">
        <f t="shared" si="11"/>
        <v>6.8000000000000047E-2</v>
      </c>
      <c r="B72" s="21">
        <f t="shared" si="6"/>
        <v>0.20590274819208099</v>
      </c>
      <c r="C72" s="21">
        <f t="shared" si="7"/>
        <v>0.12398862962968692</v>
      </c>
      <c r="N72" s="20">
        <f t="shared" si="8"/>
        <v>6.8000000000000047E-2</v>
      </c>
      <c r="O72" s="20">
        <f t="shared" si="9"/>
        <v>6.8000000000000047E-2</v>
      </c>
      <c r="P72" s="20">
        <f t="shared" si="10"/>
        <v>6.8000000000000047E-2</v>
      </c>
    </row>
    <row r="73" spans="1:16" x14ac:dyDescent="0.25">
      <c r="A73" s="20">
        <f t="shared" si="11"/>
        <v>6.9000000000000047E-2</v>
      </c>
      <c r="B73" s="21">
        <f t="shared" si="6"/>
        <v>0.20099735301867416</v>
      </c>
      <c r="C73" s="21">
        <f t="shared" si="7"/>
        <v>0.12176670051252141</v>
      </c>
      <c r="N73" s="20">
        <f t="shared" si="8"/>
        <v>6.9000000000000047E-2</v>
      </c>
      <c r="O73" s="20">
        <f t="shared" si="9"/>
        <v>6.9000000000000047E-2</v>
      </c>
      <c r="P73" s="20">
        <f t="shared" si="10"/>
        <v>6.9000000000000047E-2</v>
      </c>
    </row>
    <row r="74" spans="1:16" x14ac:dyDescent="0.25">
      <c r="A74" s="20">
        <f t="shared" si="11"/>
        <v>7.0000000000000048E-2</v>
      </c>
      <c r="B74" s="21">
        <f t="shared" si="6"/>
        <v>0.19611440272936287</v>
      </c>
      <c r="C74" s="21">
        <f t="shared" si="7"/>
        <v>0.11955405930347657</v>
      </c>
      <c r="N74" s="20">
        <f t="shared" si="8"/>
        <v>7.0000000000000048E-2</v>
      </c>
      <c r="O74" s="20">
        <f t="shared" si="9"/>
        <v>7.0000000000000048E-2</v>
      </c>
      <c r="P74" s="20">
        <f t="shared" si="10"/>
        <v>7.0000000000000048E-2</v>
      </c>
    </row>
    <row r="75" spans="1:16" x14ac:dyDescent="0.25">
      <c r="A75" s="20">
        <f t="shared" si="11"/>
        <v>7.1000000000000049E-2</v>
      </c>
      <c r="B75" s="21">
        <f t="shared" si="6"/>
        <v>0.19125377046656289</v>
      </c>
      <c r="C75" s="21">
        <f t="shared" si="7"/>
        <v>0.11735065542298435</v>
      </c>
      <c r="N75" s="20">
        <f t="shared" si="8"/>
        <v>7.1000000000000049E-2</v>
      </c>
      <c r="O75" s="20">
        <f t="shared" si="9"/>
        <v>7.1000000000000049E-2</v>
      </c>
      <c r="P75" s="20">
        <f t="shared" si="10"/>
        <v>7.1000000000000049E-2</v>
      </c>
    </row>
    <row r="76" spans="1:16" x14ac:dyDescent="0.25">
      <c r="A76" s="20">
        <f t="shared" si="11"/>
        <v>7.200000000000005E-2</v>
      </c>
      <c r="B76" s="21">
        <f t="shared" si="6"/>
        <v>0.18641533022418288</v>
      </c>
      <c r="C76" s="21">
        <f t="shared" si="7"/>
        <v>0.1151564386234407</v>
      </c>
      <c r="N76" s="20">
        <f t="shared" si="8"/>
        <v>7.200000000000005E-2</v>
      </c>
      <c r="O76" s="20">
        <f t="shared" si="9"/>
        <v>7.200000000000005E-2</v>
      </c>
      <c r="P76" s="20">
        <f t="shared" si="10"/>
        <v>7.200000000000005E-2</v>
      </c>
    </row>
    <row r="77" spans="1:16" x14ac:dyDescent="0.25">
      <c r="A77" s="20">
        <f t="shared" si="11"/>
        <v>7.3000000000000051E-2</v>
      </c>
      <c r="B77" s="21">
        <f t="shared" si="6"/>
        <v>0.18159895684104232</v>
      </c>
      <c r="C77" s="21">
        <f t="shared" si="7"/>
        <v>0.11297135898668353</v>
      </c>
      <c r="N77" s="20">
        <f t="shared" si="8"/>
        <v>7.3000000000000051E-2</v>
      </c>
      <c r="O77" s="20">
        <f t="shared" si="9"/>
        <v>7.3000000000000051E-2</v>
      </c>
      <c r="P77" s="20">
        <f t="shared" si="10"/>
        <v>7.3000000000000051E-2</v>
      </c>
    </row>
    <row r="78" spans="1:16" x14ac:dyDescent="0.25">
      <c r="A78" s="20">
        <f t="shared" si="11"/>
        <v>7.4000000000000052E-2</v>
      </c>
      <c r="B78" s="21">
        <f t="shared" si="6"/>
        <v>0.17680452599432783</v>
      </c>
      <c r="C78" s="21">
        <f t="shared" si="7"/>
        <v>0.11079536692148276</v>
      </c>
      <c r="N78" s="20">
        <f t="shared" si="8"/>
        <v>7.4000000000000052E-2</v>
      </c>
      <c r="O78" s="20">
        <f t="shared" si="9"/>
        <v>7.4000000000000052E-2</v>
      </c>
      <c r="P78" s="20">
        <f t="shared" si="10"/>
        <v>7.4000000000000052E-2</v>
      </c>
    </row>
    <row r="79" spans="1:16" x14ac:dyDescent="0.25">
      <c r="A79" s="20">
        <f t="shared" si="11"/>
        <v>7.5000000000000053E-2</v>
      </c>
      <c r="B79" s="21">
        <f t="shared" si="6"/>
        <v>0.17203191419312902</v>
      </c>
      <c r="C79" s="21">
        <f t="shared" si="7"/>
        <v>0.10862841316106144</v>
      </c>
      <c r="N79" s="20">
        <f t="shared" si="8"/>
        <v>7.5000000000000053E-2</v>
      </c>
      <c r="O79" s="20">
        <f t="shared" si="9"/>
        <v>7.5000000000000053E-2</v>
      </c>
      <c r="P79" s="20">
        <f t="shared" si="10"/>
        <v>7.5000000000000053E-2</v>
      </c>
    </row>
    <row r="80" spans="1:16" x14ac:dyDescent="0.25">
      <c r="A80" s="20">
        <f t="shared" si="11"/>
        <v>7.6000000000000054E-2</v>
      </c>
      <c r="B80" s="21">
        <f t="shared" si="6"/>
        <v>0.16728099877200475</v>
      </c>
      <c r="C80" s="21">
        <f t="shared" si="7"/>
        <v>0.10647044876062942</v>
      </c>
      <c r="N80" s="20">
        <f t="shared" si="8"/>
        <v>7.6000000000000054E-2</v>
      </c>
      <c r="O80" s="20">
        <f t="shared" si="9"/>
        <v>7.6000000000000054E-2</v>
      </c>
      <c r="P80" s="20">
        <f t="shared" si="10"/>
        <v>7.6000000000000054E-2</v>
      </c>
    </row>
    <row r="81" spans="1:16" x14ac:dyDescent="0.25">
      <c r="A81" s="20">
        <f t="shared" si="11"/>
        <v>7.7000000000000055E-2</v>
      </c>
      <c r="B81" s="21">
        <f t="shared" si="6"/>
        <v>0.16255165788463022</v>
      </c>
      <c r="C81" s="21">
        <f t="shared" si="7"/>
        <v>0.10432142509494619</v>
      </c>
      <c r="N81" s="20">
        <f t="shared" si="8"/>
        <v>7.7000000000000055E-2</v>
      </c>
      <c r="O81" s="20">
        <f t="shared" si="9"/>
        <v>7.7000000000000055E-2</v>
      </c>
      <c r="P81" s="20">
        <f t="shared" si="10"/>
        <v>7.7000000000000055E-2</v>
      </c>
    </row>
    <row r="82" spans="1:16" x14ac:dyDescent="0.25">
      <c r="A82" s="20">
        <f t="shared" si="11"/>
        <v>7.8000000000000055E-2</v>
      </c>
      <c r="B82" s="21">
        <f t="shared" si="6"/>
        <v>0.15784377049748288</v>
      </c>
      <c r="C82" s="21">
        <f t="shared" si="7"/>
        <v>0.10218129385589689</v>
      </c>
      <c r="N82" s="20">
        <f t="shared" si="8"/>
        <v>7.8000000000000055E-2</v>
      </c>
      <c r="O82" s="20">
        <f t="shared" si="9"/>
        <v>7.8000000000000055E-2</v>
      </c>
      <c r="P82" s="20">
        <f t="shared" si="10"/>
        <v>7.8000000000000055E-2</v>
      </c>
    </row>
    <row r="83" spans="1:16" x14ac:dyDescent="0.25">
      <c r="A83" s="20">
        <f t="shared" si="11"/>
        <v>7.9000000000000056E-2</v>
      </c>
      <c r="B83" s="21">
        <f t="shared" si="6"/>
        <v>0.15315721638359059</v>
      </c>
      <c r="C83" s="21">
        <f t="shared" si="7"/>
        <v>0.10005000705009696</v>
      </c>
      <c r="N83" s="20">
        <f t="shared" si="8"/>
        <v>7.9000000000000056E-2</v>
      </c>
      <c r="O83" s="20">
        <f t="shared" si="9"/>
        <v>7.9000000000000056E-2</v>
      </c>
      <c r="P83" s="20">
        <f t="shared" si="10"/>
        <v>7.9000000000000056E-2</v>
      </c>
    </row>
    <row r="84" spans="1:16" x14ac:dyDescent="0.25">
      <c r="A84" s="20">
        <f t="shared" si="11"/>
        <v>8.0000000000000057E-2</v>
      </c>
      <c r="B84" s="21">
        <f t="shared" si="6"/>
        <v>0.14849187611632897</v>
      </c>
      <c r="C84" s="21">
        <f t="shared" si="7"/>
        <v>9.7927516996510394E-2</v>
      </c>
      <c r="N84" s="20">
        <f t="shared" si="8"/>
        <v>8.0000000000000057E-2</v>
      </c>
      <c r="O84" s="20">
        <f t="shared" si="9"/>
        <v>8.0000000000000057E-2</v>
      </c>
      <c r="P84" s="20">
        <f t="shared" si="10"/>
        <v>8.0000000000000057E-2</v>
      </c>
    </row>
    <row r="85" spans="1:16" x14ac:dyDescent="0.25">
      <c r="A85" s="20">
        <f t="shared" si="11"/>
        <v>8.1000000000000058E-2</v>
      </c>
      <c r="B85" s="21">
        <f t="shared" si="6"/>
        <v>0.14384763106328258</v>
      </c>
      <c r="C85" s="21">
        <f t="shared" si="7"/>
        <v>9.5813776324093242E-2</v>
      </c>
      <c r="N85" s="20">
        <f t="shared" si="8"/>
        <v>8.1000000000000058E-2</v>
      </c>
      <c r="O85" s="20">
        <f t="shared" si="9"/>
        <v>8.1000000000000058E-2</v>
      </c>
      <c r="P85" s="20">
        <f t="shared" si="10"/>
        <v>8.1000000000000058E-2</v>
      </c>
    </row>
    <row r="86" spans="1:16" x14ac:dyDescent="0.25">
      <c r="A86" s="20">
        <f t="shared" si="11"/>
        <v>8.2000000000000059E-2</v>
      </c>
      <c r="B86" s="21">
        <f t="shared" si="6"/>
        <v>0.13922436338014577</v>
      </c>
      <c r="C86" s="21">
        <f t="shared" si="7"/>
        <v>9.3708737969453657E-2</v>
      </c>
      <c r="N86" s="20">
        <f t="shared" si="8"/>
        <v>8.2000000000000059E-2</v>
      </c>
      <c r="O86" s="20">
        <f t="shared" si="9"/>
        <v>8.2000000000000059E-2</v>
      </c>
      <c r="P86" s="20">
        <f t="shared" si="10"/>
        <v>8.2000000000000059E-2</v>
      </c>
    </row>
    <row r="87" spans="1:16" x14ac:dyDescent="0.25">
      <c r="A87" s="20">
        <f t="shared" si="11"/>
        <v>8.300000000000006E-2</v>
      </c>
      <c r="B87" s="21">
        <f t="shared" si="6"/>
        <v>0.13462195600468752</v>
      </c>
      <c r="C87" s="21">
        <f t="shared" si="7"/>
        <v>9.1612355174536364E-2</v>
      </c>
      <c r="N87" s="20">
        <f t="shared" si="8"/>
        <v>8.300000000000006E-2</v>
      </c>
      <c r="O87" s="20">
        <f t="shared" si="9"/>
        <v>8.300000000000006E-2</v>
      </c>
      <c r="P87" s="20">
        <f t="shared" si="10"/>
        <v>8.300000000000006E-2</v>
      </c>
    </row>
    <row r="88" spans="1:16" x14ac:dyDescent="0.25">
      <c r="A88" s="20">
        <f t="shared" si="11"/>
        <v>8.4000000000000061E-2</v>
      </c>
      <c r="B88" s="21">
        <f t="shared" si="6"/>
        <v>0.13004029265076156</v>
      </c>
      <c r="C88" s="21">
        <f t="shared" si="7"/>
        <v>8.9524581484321075E-2</v>
      </c>
      <c r="N88" s="20">
        <f t="shared" si="8"/>
        <v>8.4000000000000061E-2</v>
      </c>
      <c r="O88" s="20">
        <f t="shared" si="9"/>
        <v>8.4000000000000061E-2</v>
      </c>
      <c r="P88" s="20">
        <f t="shared" si="10"/>
        <v>8.4000000000000061E-2</v>
      </c>
    </row>
    <row r="89" spans="1:16" x14ac:dyDescent="0.25">
      <c r="A89" s="20">
        <f t="shared" si="11"/>
        <v>8.5000000000000062E-2</v>
      </c>
      <c r="B89" s="21">
        <f t="shared" si="6"/>
        <v>0.1254792578023749</v>
      </c>
      <c r="C89" s="21">
        <f t="shared" si="7"/>
        <v>8.7445370744546835E-2</v>
      </c>
      <c r="N89" s="20">
        <f t="shared" si="8"/>
        <v>8.5000000000000062E-2</v>
      </c>
      <c r="O89" s="20">
        <f t="shared" si="9"/>
        <v>8.5000000000000062E-2</v>
      </c>
      <c r="P89" s="20">
        <f t="shared" si="10"/>
        <v>8.5000000000000062E-2</v>
      </c>
    </row>
    <row r="90" spans="1:16" x14ac:dyDescent="0.25">
      <c r="A90" s="20">
        <f t="shared" si="11"/>
        <v>8.6000000000000063E-2</v>
      </c>
      <c r="B90" s="21">
        <f t="shared" si="6"/>
        <v>0.12093873670779787</v>
      </c>
      <c r="C90" s="21">
        <f t="shared" si="7"/>
        <v>8.5374677099449472E-2</v>
      </c>
      <c r="N90" s="20">
        <f t="shared" si="8"/>
        <v>8.6000000000000063E-2</v>
      </c>
      <c r="O90" s="20">
        <f t="shared" si="9"/>
        <v>8.6000000000000063E-2</v>
      </c>
      <c r="P90" s="20">
        <f t="shared" si="10"/>
        <v>8.6000000000000063E-2</v>
      </c>
    </row>
    <row r="91" spans="1:16" x14ac:dyDescent="0.25">
      <c r="A91" s="20">
        <f t="shared" si="11"/>
        <v>8.7000000000000063E-2</v>
      </c>
      <c r="B91" s="21">
        <f t="shared" si="6"/>
        <v>0.11641861537373788</v>
      </c>
      <c r="C91" s="21">
        <f t="shared" si="7"/>
        <v>8.3312454989524928E-2</v>
      </c>
      <c r="N91" s="20">
        <f t="shared" si="8"/>
        <v>8.7000000000000063E-2</v>
      </c>
      <c r="O91" s="20">
        <f t="shared" si="9"/>
        <v>8.7000000000000063E-2</v>
      </c>
      <c r="P91" s="20">
        <f t="shared" si="10"/>
        <v>8.7000000000000063E-2</v>
      </c>
    </row>
    <row r="92" spans="1:16" x14ac:dyDescent="0.25">
      <c r="A92" s="20">
        <f t="shared" si="11"/>
        <v>8.8000000000000064E-2</v>
      </c>
      <c r="B92" s="21">
        <f t="shared" si="6"/>
        <v>0.11191878055955029</v>
      </c>
      <c r="C92" s="21">
        <f t="shared" si="7"/>
        <v>8.1258659149304163E-2</v>
      </c>
      <c r="N92" s="20">
        <f t="shared" si="8"/>
        <v>8.8000000000000064E-2</v>
      </c>
      <c r="O92" s="20">
        <f t="shared" si="9"/>
        <v>8.8000000000000064E-2</v>
      </c>
      <c r="P92" s="20">
        <f t="shared" si="10"/>
        <v>8.8000000000000064E-2</v>
      </c>
    </row>
    <row r="93" spans="1:16" x14ac:dyDescent="0.25">
      <c r="A93" s="20">
        <f t="shared" si="11"/>
        <v>8.9000000000000065E-2</v>
      </c>
      <c r="B93" s="21">
        <f t="shared" si="6"/>
        <v>0.10743911977150966</v>
      </c>
      <c r="C93" s="21">
        <f t="shared" si="7"/>
        <v>7.92132446051554E-2</v>
      </c>
      <c r="N93" s="20">
        <f t="shared" si="8"/>
        <v>8.9000000000000065E-2</v>
      </c>
      <c r="O93" s="20">
        <f t="shared" si="9"/>
        <v>8.9000000000000065E-2</v>
      </c>
      <c r="P93" s="20">
        <f t="shared" si="10"/>
        <v>8.9000000000000065E-2</v>
      </c>
    </row>
    <row r="94" spans="1:16" x14ac:dyDescent="0.25">
      <c r="A94" s="20">
        <f t="shared" si="11"/>
        <v>9.0000000000000066E-2</v>
      </c>
      <c r="B94" s="21">
        <f t="shared" si="6"/>
        <v>0.10297952125712229</v>
      </c>
      <c r="C94" s="21">
        <f t="shared" si="7"/>
        <v>7.7176166673095847E-2</v>
      </c>
      <c r="N94" s="20">
        <f t="shared" si="8"/>
        <v>9.0000000000000066E-2</v>
      </c>
      <c r="O94" s="20">
        <f t="shared" si="9"/>
        <v>9.0000000000000066E-2</v>
      </c>
      <c r="P94" s="20">
        <f t="shared" si="10"/>
        <v>9.0000000000000066E-2</v>
      </c>
    </row>
    <row r="95" spans="1:16" x14ac:dyDescent="0.25">
      <c r="A95" s="20">
        <f t="shared" si="11"/>
        <v>9.1000000000000067E-2</v>
      </c>
      <c r="B95" s="21">
        <f t="shared" si="6"/>
        <v>9.8539873999495597E-2</v>
      </c>
      <c r="C95" s="21">
        <f t="shared" si="7"/>
        <v>7.5147380956631302E-2</v>
      </c>
      <c r="N95" s="20">
        <f t="shared" si="8"/>
        <v>9.1000000000000067E-2</v>
      </c>
      <c r="O95" s="20">
        <f t="shared" si="9"/>
        <v>9.1000000000000067E-2</v>
      </c>
      <c r="P95" s="20">
        <f t="shared" si="10"/>
        <v>9.1000000000000067E-2</v>
      </c>
    </row>
    <row r="96" spans="1:16" x14ac:dyDescent="0.25">
      <c r="A96" s="20">
        <f t="shared" si="11"/>
        <v>9.2000000000000068E-2</v>
      </c>
      <c r="B96" s="21">
        <f t="shared" si="6"/>
        <v>9.4120067711745747E-2</v>
      </c>
      <c r="C96" s="21">
        <f t="shared" si="7"/>
        <v>7.3126843344605091E-2</v>
      </c>
      <c r="N96" s="20">
        <f t="shared" si="8"/>
        <v>9.2000000000000068E-2</v>
      </c>
      <c r="O96" s="20">
        <f t="shared" si="9"/>
        <v>9.2000000000000068E-2</v>
      </c>
      <c r="P96" s="20">
        <f t="shared" si="10"/>
        <v>9.2000000000000068E-2</v>
      </c>
    </row>
    <row r="97" spans="1:16" x14ac:dyDescent="0.25">
      <c r="A97" s="20">
        <f t="shared" si="11"/>
        <v>9.3000000000000069E-2</v>
      </c>
      <c r="B97" s="21">
        <f t="shared" si="6"/>
        <v>8.9719992831467366E-2</v>
      </c>
      <c r="C97" s="21">
        <f t="shared" si="7"/>
        <v>7.111451000907397E-2</v>
      </c>
      <c r="N97" s="20">
        <f t="shared" si="8"/>
        <v>9.3000000000000069E-2</v>
      </c>
      <c r="O97" s="20">
        <f t="shared" si="9"/>
        <v>9.3000000000000069E-2</v>
      </c>
      <c r="P97" s="20">
        <f t="shared" si="10"/>
        <v>9.3000000000000069E-2</v>
      </c>
    </row>
    <row r="98" spans="1:16" x14ac:dyDescent="0.25">
      <c r="A98" s="20">
        <f t="shared" si="11"/>
        <v>9.400000000000007E-2</v>
      </c>
      <c r="B98" s="21">
        <f t="shared" si="6"/>
        <v>8.5339540515231516E-2</v>
      </c>
      <c r="C98" s="21">
        <f t="shared" si="7"/>
        <v>6.9110337403192681E-2</v>
      </c>
      <c r="N98" s="20">
        <f t="shared" si="8"/>
        <v>9.400000000000007E-2</v>
      </c>
      <c r="O98" s="20">
        <f t="shared" si="9"/>
        <v>9.400000000000007E-2</v>
      </c>
      <c r="P98" s="20">
        <f t="shared" si="10"/>
        <v>9.400000000000007E-2</v>
      </c>
    </row>
    <row r="99" spans="1:16" x14ac:dyDescent="0.25">
      <c r="A99" s="20">
        <f t="shared" si="11"/>
        <v>9.500000000000007E-2</v>
      </c>
      <c r="B99" s="21">
        <f t="shared" si="6"/>
        <v>8.0978602633153818E-2</v>
      </c>
      <c r="C99" s="21">
        <f t="shared" si="7"/>
        <v>6.7114282259126218E-2</v>
      </c>
      <c r="N99" s="20">
        <f t="shared" si="8"/>
        <v>9.500000000000007E-2</v>
      </c>
      <c r="O99" s="20">
        <f t="shared" si="9"/>
        <v>9.500000000000007E-2</v>
      </c>
      <c r="P99" s="20">
        <f t="shared" si="10"/>
        <v>9.500000000000007E-2</v>
      </c>
    </row>
    <row r="100" spans="1:16" x14ac:dyDescent="0.25">
      <c r="A100" s="20">
        <f t="shared" si="11"/>
        <v>9.6000000000000071E-2</v>
      </c>
      <c r="B100" s="21">
        <f t="shared" si="6"/>
        <v>7.6637071763486109E-2</v>
      </c>
      <c r="C100" s="21">
        <f t="shared" si="7"/>
        <v>6.5126301585970173E-2</v>
      </c>
      <c r="N100" s="20">
        <f t="shared" si="8"/>
        <v>9.6000000000000071E-2</v>
      </c>
      <c r="O100" s="20">
        <f t="shared" si="9"/>
        <v>9.6000000000000071E-2</v>
      </c>
      <c r="P100" s="20">
        <f t="shared" si="10"/>
        <v>9.6000000000000071E-2</v>
      </c>
    </row>
    <row r="101" spans="1:16" x14ac:dyDescent="0.25">
      <c r="A101" s="20">
        <f t="shared" si="11"/>
        <v>9.7000000000000072E-2</v>
      </c>
      <c r="B101" s="21">
        <f t="shared" si="6"/>
        <v>7.231484118727316E-2</v>
      </c>
      <c r="C101" s="21">
        <f t="shared" si="7"/>
        <v>6.3146352667697678E-2</v>
      </c>
      <c r="N101" s="20">
        <f t="shared" si="8"/>
        <v>9.7000000000000072E-2</v>
      </c>
      <c r="O101" s="20">
        <f t="shared" si="9"/>
        <v>9.7000000000000072E-2</v>
      </c>
      <c r="P101" s="20">
        <f t="shared" si="10"/>
        <v>9.7000000000000072E-2</v>
      </c>
    </row>
    <row r="102" spans="1:16" x14ac:dyDescent="0.25">
      <c r="A102" s="20">
        <f t="shared" si="11"/>
        <v>9.8000000000000073E-2</v>
      </c>
      <c r="B102" s="21">
        <f t="shared" si="6"/>
        <v>6.8011804883040705E-2</v>
      </c>
      <c r="C102" s="21">
        <f t="shared" si="7"/>
        <v>6.1174393061114676E-2</v>
      </c>
      <c r="N102" s="20">
        <f t="shared" si="8"/>
        <v>9.8000000000000073E-2</v>
      </c>
      <c r="O102" s="20">
        <f t="shared" si="9"/>
        <v>9.8000000000000073E-2</v>
      </c>
      <c r="P102" s="20">
        <f t="shared" si="10"/>
        <v>9.8000000000000073E-2</v>
      </c>
    </row>
    <row r="103" spans="1:16" x14ac:dyDescent="0.25">
      <c r="A103" s="20">
        <f t="shared" si="11"/>
        <v>9.9000000000000074E-2</v>
      </c>
      <c r="B103" s="21">
        <f t="shared" si="6"/>
        <v>6.372785752154142E-2</v>
      </c>
      <c r="C103" s="21">
        <f t="shared" si="7"/>
        <v>5.9210380593840845E-2</v>
      </c>
      <c r="N103" s="20">
        <f t="shared" si="8"/>
        <v>9.9000000000000074E-2</v>
      </c>
      <c r="O103" s="20">
        <f t="shared" si="9"/>
        <v>9.9000000000000074E-2</v>
      </c>
      <c r="P103" s="20">
        <f t="shared" si="10"/>
        <v>9.9000000000000074E-2</v>
      </c>
    </row>
    <row r="104" spans="1:16" x14ac:dyDescent="0.25">
      <c r="A104" s="20">
        <f t="shared" si="11"/>
        <v>0.10000000000000007</v>
      </c>
      <c r="B104" s="21">
        <f t="shared" si="6"/>
        <v>5.9462894460532434E-2</v>
      </c>
      <c r="C104" s="21">
        <f t="shared" si="7"/>
        <v>5.7254273362300281E-2</v>
      </c>
      <c r="N104" s="20">
        <f t="shared" si="8"/>
        <v>0.10000000000000007</v>
      </c>
      <c r="O104" s="20">
        <f t="shared" si="9"/>
        <v>0.10000000000000007</v>
      </c>
      <c r="P104" s="20">
        <f t="shared" si="10"/>
        <v>0.10000000000000007</v>
      </c>
    </row>
    <row r="105" spans="1:16" x14ac:dyDescent="0.25">
      <c r="A105" s="20">
        <f t="shared" si="11"/>
        <v>0.10100000000000008</v>
      </c>
      <c r="B105" s="21">
        <f t="shared" si="6"/>
        <v>5.521681173961146E-2</v>
      </c>
      <c r="C105" s="21">
        <f t="shared" si="7"/>
        <v>5.530602972973471E-2</v>
      </c>
      <c r="N105" s="20">
        <f t="shared" si="8"/>
        <v>0.10100000000000008</v>
      </c>
      <c r="O105" s="20">
        <f t="shared" si="9"/>
        <v>0.10100000000000008</v>
      </c>
      <c r="P105" s="20" t="str">
        <f t="shared" si="10"/>
        <v/>
      </c>
    </row>
    <row r="106" spans="1:16" x14ac:dyDescent="0.25">
      <c r="A106" s="20">
        <f t="shared" si="11"/>
        <v>0.10200000000000008</v>
      </c>
      <c r="B106" s="21">
        <f t="shared" si="6"/>
        <v>5.0989506075082458E-2</v>
      </c>
      <c r="C106" s="21">
        <f t="shared" si="7"/>
        <v>5.3365608324229097E-2</v>
      </c>
      <c r="N106" s="20">
        <f t="shared" si="8"/>
        <v>0.10200000000000008</v>
      </c>
      <c r="O106" s="20">
        <f t="shared" si="9"/>
        <v>0.10200000000000008</v>
      </c>
      <c r="P106" s="20" t="str">
        <f t="shared" si="10"/>
        <v/>
      </c>
    </row>
    <row r="107" spans="1:16" x14ac:dyDescent="0.25">
      <c r="A107" s="20">
        <f t="shared" si="11"/>
        <v>0.10300000000000008</v>
      </c>
      <c r="B107" s="21">
        <f t="shared" si="6"/>
        <v>4.6780874854878807E-2</v>
      </c>
      <c r="C107" s="21">
        <f t="shared" si="7"/>
        <v>5.1432968036757246E-2</v>
      </c>
      <c r="N107" s="20">
        <f t="shared" si="8"/>
        <v>0.10300000000000008</v>
      </c>
      <c r="O107" s="20">
        <f t="shared" si="9"/>
        <v>0.10300000000000008</v>
      </c>
      <c r="P107" s="20" t="str">
        <f t="shared" si="10"/>
        <v/>
      </c>
    </row>
    <row r="108" spans="1:16" x14ac:dyDescent="0.25">
      <c r="A108" s="20">
        <f t="shared" si="11"/>
        <v>0.10400000000000008</v>
      </c>
      <c r="B108" s="21">
        <f t="shared" si="6"/>
        <v>4.2590816133517118E-2</v>
      </c>
      <c r="C108" s="21">
        <f t="shared" si="7"/>
        <v>4.9508068019240285E-2</v>
      </c>
      <c r="N108" s="20">
        <f t="shared" si="8"/>
        <v>0.10400000000000008</v>
      </c>
      <c r="O108" s="20">
        <f t="shared" si="9"/>
        <v>0.10400000000000008</v>
      </c>
      <c r="P108" s="20" t="str">
        <f t="shared" si="10"/>
        <v/>
      </c>
    </row>
    <row r="109" spans="1:16" x14ac:dyDescent="0.25">
      <c r="A109" s="20">
        <f t="shared" si="11"/>
        <v>0.10500000000000008</v>
      </c>
      <c r="B109" s="21">
        <f t="shared" si="6"/>
        <v>3.8419228627104562E-2</v>
      </c>
      <c r="C109" s="21">
        <f t="shared" si="7"/>
        <v>4.7590867682625881E-2</v>
      </c>
      <c r="N109" s="20">
        <f t="shared" si="8"/>
        <v>0.10500000000000008</v>
      </c>
      <c r="O109" s="20">
        <f t="shared" si="9"/>
        <v>0.10500000000000008</v>
      </c>
      <c r="P109" s="20" t="str">
        <f t="shared" si="10"/>
        <v/>
      </c>
    </row>
    <row r="110" spans="1:16" x14ac:dyDescent="0.25">
      <c r="A110" s="20">
        <f t="shared" si="11"/>
        <v>0.10600000000000008</v>
      </c>
      <c r="B110" s="21">
        <f t="shared" si="6"/>
        <v>3.4266011708378397E-2</v>
      </c>
      <c r="C110" s="21">
        <f t="shared" si="7"/>
        <v>4.5681326694977369E-2</v>
      </c>
      <c r="N110" s="20">
        <f t="shared" si="8"/>
        <v>0.10600000000000008</v>
      </c>
      <c r="O110" s="20">
        <f t="shared" si="9"/>
        <v>0.10600000000000008</v>
      </c>
      <c r="P110" s="20" t="str">
        <f t="shared" si="10"/>
        <v/>
      </c>
    </row>
    <row r="111" spans="1:16" x14ac:dyDescent="0.25">
      <c r="A111" s="20">
        <f t="shared" si="11"/>
        <v>0.10700000000000008</v>
      </c>
      <c r="B111" s="21">
        <f t="shared" si="6"/>
        <v>3.0131065401798107E-2</v>
      </c>
      <c r="C111" s="21">
        <f t="shared" si="7"/>
        <v>4.3779404979586128E-2</v>
      </c>
      <c r="N111" s="20">
        <f t="shared" si="8"/>
        <v>0.10700000000000008</v>
      </c>
      <c r="O111" s="20">
        <f t="shared" si="9"/>
        <v>0.10700000000000008</v>
      </c>
      <c r="P111" s="20" t="str">
        <f t="shared" si="10"/>
        <v/>
      </c>
    </row>
    <row r="112" spans="1:16" x14ac:dyDescent="0.25">
      <c r="A112" s="20">
        <f t="shared" si="11"/>
        <v>0.10800000000000008</v>
      </c>
      <c r="B112" s="21">
        <f t="shared" si="6"/>
        <v>2.6014290378668203E-2</v>
      </c>
      <c r="C112" s="21">
        <f t="shared" si="7"/>
        <v>4.1885062713092738E-2</v>
      </c>
      <c r="N112" s="20">
        <f t="shared" si="8"/>
        <v>0.10800000000000008</v>
      </c>
      <c r="O112" s="20">
        <f t="shared" si="9"/>
        <v>0.10800000000000008</v>
      </c>
      <c r="P112" s="20" t="str">
        <f t="shared" si="10"/>
        <v/>
      </c>
    </row>
    <row r="113" spans="1:16" x14ac:dyDescent="0.25">
      <c r="A113" s="20">
        <f t="shared" si="11"/>
        <v>0.10900000000000008</v>
      </c>
      <c r="B113" s="21">
        <f t="shared" si="6"/>
        <v>2.1915587952313631E-2</v>
      </c>
      <c r="C113" s="21">
        <f t="shared" si="7"/>
        <v>3.9998260323629166E-2</v>
      </c>
      <c r="N113" s="20">
        <f t="shared" si="8"/>
        <v>0.10900000000000008</v>
      </c>
      <c r="O113" s="20">
        <f t="shared" si="9"/>
        <v>0.10900000000000008</v>
      </c>
      <c r="P113" s="20" t="str">
        <f t="shared" si="10"/>
        <v/>
      </c>
    </row>
    <row r="114" spans="1:16" x14ac:dyDescent="0.25">
      <c r="A114" s="20">
        <f t="shared" si="11"/>
        <v>0.11000000000000008</v>
      </c>
      <c r="B114" s="21">
        <f t="shared" si="6"/>
        <v>1.7834860073282055E-2</v>
      </c>
      <c r="C114" s="21">
        <f t="shared" si="7"/>
        <v>3.8118958488972302E-2</v>
      </c>
      <c r="N114" s="20">
        <f t="shared" si="8"/>
        <v>0.11000000000000008</v>
      </c>
      <c r="O114" s="20">
        <f t="shared" si="9"/>
        <v>0.11000000000000008</v>
      </c>
      <c r="P114" s="20" t="str">
        <f t="shared" si="10"/>
        <v/>
      </c>
    </row>
    <row r="115" spans="1:16" x14ac:dyDescent="0.25">
      <c r="A115" s="20">
        <f t="shared" si="11"/>
        <v>0.11100000000000008</v>
      </c>
      <c r="B115" s="21">
        <f t="shared" si="6"/>
        <v>1.3772009324603429E-2</v>
      </c>
      <c r="C115" s="21">
        <f t="shared" si="7"/>
        <v>3.6247118134717239E-2</v>
      </c>
      <c r="N115" s="20">
        <f t="shared" si="8"/>
        <v>0.11100000000000008</v>
      </c>
      <c r="O115" s="20">
        <f t="shared" si="9"/>
        <v>0.11100000000000008</v>
      </c>
      <c r="P115" s="20" t="str">
        <f t="shared" si="10"/>
        <v/>
      </c>
    </row>
    <row r="116" spans="1:16" x14ac:dyDescent="0.25">
      <c r="A116" s="20">
        <f t="shared" si="11"/>
        <v>0.11200000000000009</v>
      </c>
      <c r="B116" s="21">
        <f t="shared" si="6"/>
        <v>9.7269389170717702E-3</v>
      </c>
      <c r="C116" s="21">
        <f t="shared" si="7"/>
        <v>3.4382700432459973E-2</v>
      </c>
      <c r="N116" s="20">
        <f t="shared" si="8"/>
        <v>0.11200000000000009</v>
      </c>
      <c r="O116" s="20">
        <f t="shared" si="9"/>
        <v>0.11200000000000009</v>
      </c>
      <c r="P116" s="20" t="str">
        <f t="shared" si="10"/>
        <v/>
      </c>
    </row>
    <row r="117" spans="1:16" x14ac:dyDescent="0.25">
      <c r="A117" s="20">
        <f t="shared" si="11"/>
        <v>0.11300000000000009</v>
      </c>
      <c r="B117" s="21">
        <f t="shared" si="6"/>
        <v>5.6995526845839972E-3</v>
      </c>
      <c r="C117" s="21">
        <f t="shared" si="7"/>
        <v>3.2525666798001979E-2</v>
      </c>
      <c r="N117" s="20">
        <f t="shared" si="8"/>
        <v>0.11300000000000009</v>
      </c>
      <c r="O117" s="20">
        <f t="shared" si="9"/>
        <v>0.11300000000000009</v>
      </c>
      <c r="P117" s="20" t="str">
        <f t="shared" si="10"/>
        <v/>
      </c>
    </row>
    <row r="118" spans="1:16" x14ac:dyDescent="0.25">
      <c r="A118" s="20">
        <f t="shared" si="11"/>
        <v>0.11400000000000009</v>
      </c>
      <c r="B118" s="21">
        <f t="shared" si="6"/>
        <v>1.6897550794998661E-3</v>
      </c>
      <c r="C118" s="21">
        <f t="shared" si="7"/>
        <v>3.0675978889562819E-2</v>
      </c>
      <c r="N118" s="20">
        <f t="shared" si="8"/>
        <v>0.11400000000000009</v>
      </c>
      <c r="O118" s="20">
        <f t="shared" si="9"/>
        <v>0.11400000000000009</v>
      </c>
      <c r="P118" s="20" t="str">
        <f t="shared" si="10"/>
        <v/>
      </c>
    </row>
    <row r="119" spans="1:16" x14ac:dyDescent="0.25">
      <c r="A119" s="20">
        <f t="shared" si="11"/>
        <v>0.11500000000000009</v>
      </c>
      <c r="B119" s="21">
        <f t="shared" si="6"/>
        <v>-2.3025488319394771E-3</v>
      </c>
      <c r="C119" s="21">
        <f t="shared" si="7"/>
        <v>2.8833598606014268E-2</v>
      </c>
      <c r="N119" s="20" t="str">
        <f t="shared" si="8"/>
        <v/>
      </c>
      <c r="O119" s="20">
        <f t="shared" si="9"/>
        <v>0.11500000000000009</v>
      </c>
      <c r="P119" s="20" t="str">
        <f t="shared" si="10"/>
        <v/>
      </c>
    </row>
    <row r="120" spans="1:16" x14ac:dyDescent="0.25">
      <c r="A120" s="20">
        <f t="shared" si="11"/>
        <v>0.11600000000000009</v>
      </c>
      <c r="B120" s="21">
        <f t="shared" si="6"/>
        <v>-6.2774533741745131E-3</v>
      </c>
      <c r="C120" s="21">
        <f t="shared" si="7"/>
        <v>2.699848808512173E-2</v>
      </c>
      <c r="N120" s="20" t="str">
        <f t="shared" si="8"/>
        <v/>
      </c>
      <c r="O120" s="20">
        <f t="shared" si="9"/>
        <v>0.11600000000000009</v>
      </c>
      <c r="P120" s="20" t="str">
        <f t="shared" si="10"/>
        <v/>
      </c>
    </row>
    <row r="121" spans="1:16" x14ac:dyDescent="0.25">
      <c r="A121" s="20">
        <f t="shared" si="11"/>
        <v>0.11700000000000009</v>
      </c>
      <c r="B121" s="21">
        <f t="shared" si="6"/>
        <v>-1.0235052266833744E-2</v>
      </c>
      <c r="C121" s="21">
        <f t="shared" si="7"/>
        <v>2.5170609701808747E-2</v>
      </c>
      <c r="N121" s="20" t="str">
        <f t="shared" si="8"/>
        <v/>
      </c>
      <c r="O121" s="20">
        <f t="shared" si="9"/>
        <v>0.11700000000000009</v>
      </c>
      <c r="P121" s="20" t="str">
        <f t="shared" si="10"/>
        <v/>
      </c>
    </row>
    <row r="122" spans="1:16" x14ac:dyDescent="0.25">
      <c r="A122" s="20">
        <f t="shared" si="11"/>
        <v>0.11800000000000009</v>
      </c>
      <c r="B122" s="21">
        <f t="shared" si="6"/>
        <v>-1.4175438629216996E-2</v>
      </c>
      <c r="C122" s="21">
        <f t="shared" si="7"/>
        <v>2.3349926066426378E-2</v>
      </c>
      <c r="N122" s="20" t="str">
        <f t="shared" si="8"/>
        <v/>
      </c>
      <c r="O122" s="20">
        <f t="shared" si="9"/>
        <v>0.11800000000000009</v>
      </c>
      <c r="P122" s="20" t="str">
        <f t="shared" si="10"/>
        <v/>
      </c>
    </row>
    <row r="123" spans="1:16" x14ac:dyDescent="0.25">
      <c r="A123" s="20">
        <f t="shared" si="11"/>
        <v>0.11900000000000009</v>
      </c>
      <c r="B123" s="21">
        <f t="shared" si="6"/>
        <v>-1.8098704984731651E-2</v>
      </c>
      <c r="C123" s="21">
        <f t="shared" si="7"/>
        <v>2.1536400023046055E-2</v>
      </c>
      <c r="N123" s="20" t="str">
        <f t="shared" si="8"/>
        <v/>
      </c>
      <c r="O123" s="20">
        <f t="shared" si="9"/>
        <v>0.11900000000000009</v>
      </c>
      <c r="P123" s="20" t="str">
        <f t="shared" si="10"/>
        <v/>
      </c>
    </row>
    <row r="124" spans="1:16" x14ac:dyDescent="0.25">
      <c r="A124" s="20">
        <f t="shared" si="11"/>
        <v>0.12000000000000009</v>
      </c>
      <c r="B124" s="21">
        <f t="shared" si="6"/>
        <v>-2.2004943265296451E-2</v>
      </c>
      <c r="C124" s="21">
        <f t="shared" si="7"/>
        <v>1.9729994647758389E-2</v>
      </c>
      <c r="N124" s="20" t="str">
        <f t="shared" si="8"/>
        <v/>
      </c>
      <c r="O124" s="20">
        <f t="shared" si="9"/>
        <v>0.12000000000000009</v>
      </c>
      <c r="P124" s="20" t="str">
        <f t="shared" si="10"/>
        <v/>
      </c>
    </row>
    <row r="125" spans="1:16" x14ac:dyDescent="0.25">
      <c r="A125" s="20">
        <f t="shared" si="11"/>
        <v>0.12100000000000009</v>
      </c>
      <c r="B125" s="21">
        <f t="shared" si="6"/>
        <v>-2.589424481570668E-2</v>
      </c>
      <c r="C125" s="21">
        <f t="shared" si="7"/>
        <v>1.7930673246993427E-2</v>
      </c>
      <c r="N125" s="20" t="str">
        <f t="shared" si="8"/>
        <v/>
      </c>
      <c r="O125" s="20">
        <f t="shared" si="9"/>
        <v>0.12100000000000009</v>
      </c>
      <c r="P125" s="20" t="str">
        <f t="shared" si="10"/>
        <v/>
      </c>
    </row>
    <row r="126" spans="1:16" x14ac:dyDescent="0.25">
      <c r="A126" s="20">
        <f t="shared" si="11"/>
        <v>0.12200000000000009</v>
      </c>
      <c r="B126" s="21">
        <f t="shared" si="6"/>
        <v>-2.9766700397965362E-2</v>
      </c>
      <c r="C126" s="21">
        <f t="shared" si="7"/>
        <v>1.6138399355847557E-2</v>
      </c>
      <c r="N126" s="20" t="str">
        <f t="shared" si="8"/>
        <v/>
      </c>
      <c r="O126" s="20">
        <f t="shared" si="9"/>
        <v>0.12200000000000009</v>
      </c>
      <c r="P126" s="20" t="str">
        <f t="shared" si="10"/>
        <v/>
      </c>
    </row>
    <row r="127" spans="1:16" x14ac:dyDescent="0.25">
      <c r="A127" s="20">
        <f t="shared" si="11"/>
        <v>0.1230000000000001</v>
      </c>
      <c r="B127" s="21">
        <f t="shared" si="6"/>
        <v>-3.3622400195571833E-2</v>
      </c>
      <c r="C127" s="21">
        <f t="shared" si="7"/>
        <v>1.4353136736430676E-2</v>
      </c>
      <c r="N127" s="20" t="str">
        <f t="shared" si="8"/>
        <v/>
      </c>
      <c r="O127" s="20">
        <f t="shared" si="9"/>
        <v>0.1230000000000001</v>
      </c>
      <c r="P127" s="20" t="str">
        <f t="shared" si="10"/>
        <v/>
      </c>
    </row>
    <row r="128" spans="1:16" x14ac:dyDescent="0.25">
      <c r="A128" s="20">
        <f t="shared" si="11"/>
        <v>0.1240000000000001</v>
      </c>
      <c r="B128" s="21">
        <f t="shared" si="6"/>
        <v>-3.7461433817786327E-2</v>
      </c>
      <c r="C128" s="21">
        <f t="shared" si="7"/>
        <v>1.2574849376220859E-2</v>
      </c>
      <c r="N128" s="20" t="str">
        <f t="shared" si="8"/>
        <v/>
      </c>
      <c r="O128" s="20">
        <f t="shared" si="9"/>
        <v>0.1240000000000001</v>
      </c>
      <c r="P128" s="20" t="str">
        <f t="shared" si="10"/>
        <v/>
      </c>
    </row>
    <row r="129" spans="1:16" x14ac:dyDescent="0.25">
      <c r="A129" s="20">
        <f t="shared" si="11"/>
        <v>0.12500000000000008</v>
      </c>
      <c r="B129" s="21">
        <f t="shared" si="6"/>
        <v>-4.1283890303844384E-2</v>
      </c>
      <c r="C129" s="21">
        <f t="shared" si="7"/>
        <v>1.0803501486439562E-2</v>
      </c>
      <c r="N129" s="20" t="str">
        <f t="shared" si="8"/>
        <v/>
      </c>
      <c r="O129" s="20">
        <f t="shared" si="9"/>
        <v>0.12500000000000008</v>
      </c>
      <c r="P129" s="20" t="str">
        <f t="shared" si="10"/>
        <v/>
      </c>
    </row>
    <row r="130" spans="1:16" x14ac:dyDescent="0.25">
      <c r="A130" s="20">
        <f t="shared" si="11"/>
        <v>0.12600000000000008</v>
      </c>
      <c r="B130" s="21">
        <f t="shared" si="6"/>
        <v>-4.5089858127150606E-2</v>
      </c>
      <c r="C130" s="21">
        <f t="shared" si="7"/>
        <v>9.0390575004316923E-3</v>
      </c>
      <c r="N130" s="20" t="str">
        <f t="shared" si="8"/>
        <v/>
      </c>
      <c r="O130" s="20">
        <f t="shared" si="9"/>
        <v>0.12600000000000008</v>
      </c>
      <c r="P130" s="20" t="str">
        <f t="shared" si="10"/>
        <v/>
      </c>
    </row>
    <row r="131" spans="1:16" x14ac:dyDescent="0.25">
      <c r="A131" s="20">
        <f t="shared" si="11"/>
        <v>0.12700000000000009</v>
      </c>
      <c r="B131" s="21">
        <f t="shared" si="6"/>
        <v>-4.8879425199425119E-2</v>
      </c>
      <c r="C131" s="21">
        <f t="shared" si="7"/>
        <v>7.2814820720672191E-3</v>
      </c>
      <c r="N131" s="20" t="str">
        <f t="shared" si="8"/>
        <v/>
      </c>
      <c r="O131" s="20">
        <f t="shared" si="9"/>
        <v>0.12700000000000009</v>
      </c>
      <c r="P131" s="20" t="str">
        <f t="shared" si="10"/>
        <v/>
      </c>
    </row>
    <row r="132" spans="1:16" x14ac:dyDescent="0.25">
      <c r="A132" s="20">
        <f t="shared" si="11"/>
        <v>0.12800000000000009</v>
      </c>
      <c r="B132" s="21">
        <f t="shared" si="6"/>
        <v>-5.2652678874826053E-2</v>
      </c>
      <c r="C132" s="21">
        <f t="shared" si="7"/>
        <v>5.530740074149304E-3</v>
      </c>
      <c r="N132" s="20" t="str">
        <f t="shared" si="8"/>
        <v/>
      </c>
      <c r="O132" s="20">
        <f t="shared" si="9"/>
        <v>0.12800000000000009</v>
      </c>
      <c r="P132" s="20" t="str">
        <f t="shared" si="10"/>
        <v/>
      </c>
    </row>
    <row r="133" spans="1:16" x14ac:dyDescent="0.25">
      <c r="A133" s="20">
        <f t="shared" si="11"/>
        <v>0.12900000000000009</v>
      </c>
      <c r="B133" s="21">
        <f t="shared" ref="B133:B154" si="12">-1-0.4*(1+A133)^(-0.5)+0.5*((1+A133)^(-2)+(1+A133)^(-3)+(1+A133)^(-4)+(1+A133)^(-5))</f>
        <v>-5.6409705954028944E-2</v>
      </c>
      <c r="C133" s="21">
        <f t="shared" ref="C133:C154" si="13">-0.8+0.2*((1+A133)^(-0.5)+(1+A133)^(-1.5)+(1+A133)^(-2.5)+(1+A133)^(-3.5)+(1+A133)^(-4.5))+0.1*(1+A133)^(-5)</f>
        <v>3.7867965968403708E-3</v>
      </c>
      <c r="N133" s="20" t="str">
        <f t="shared" ref="N133:N154" si="14">IF(B133&gt;0,A133,"")</f>
        <v/>
      </c>
      <c r="O133" s="20">
        <f t="shared" ref="O133:O154" si="15">IF(C133&gt;0,A133,"")</f>
        <v>0.12900000000000009</v>
      </c>
      <c r="P133" s="20" t="str">
        <f t="shared" ref="P133:P154" si="16">IF(B133&gt;C133,A133,"")</f>
        <v/>
      </c>
    </row>
    <row r="134" spans="1:16" x14ac:dyDescent="0.25">
      <c r="A134" s="20">
        <f t="shared" ref="A134:A145" si="17">A133+0.001</f>
        <v>0.13000000000000009</v>
      </c>
      <c r="B134" s="21">
        <f t="shared" si="12"/>
        <v>-6.015059268828149E-2</v>
      </c>
      <c r="C134" s="21">
        <f t="shared" si="13"/>
        <v>2.0496169460964553E-3</v>
      </c>
      <c r="N134" s="20" t="str">
        <f t="shared" si="14"/>
        <v/>
      </c>
      <c r="O134" s="20">
        <f t="shared" si="15"/>
        <v>0.13000000000000009</v>
      </c>
      <c r="P134" s="20" t="str">
        <f t="shared" si="16"/>
        <v/>
      </c>
    </row>
    <row r="135" spans="1:16" x14ac:dyDescent="0.25">
      <c r="A135" s="20">
        <f t="shared" si="17"/>
        <v>0.13100000000000009</v>
      </c>
      <c r="B135" s="21">
        <f t="shared" si="12"/>
        <v>-6.3875424783412571E-2</v>
      </c>
      <c r="C135" s="21">
        <f t="shared" si="13"/>
        <v>3.1916664212056078E-4</v>
      </c>
      <c r="N135" s="20" t="str">
        <f t="shared" si="14"/>
        <v/>
      </c>
      <c r="O135" s="20">
        <f t="shared" si="15"/>
        <v>0.13100000000000009</v>
      </c>
      <c r="P135" s="20" t="str">
        <f t="shared" si="16"/>
        <v/>
      </c>
    </row>
    <row r="136" spans="1:16" x14ac:dyDescent="0.25">
      <c r="A136" s="20">
        <f t="shared" si="17"/>
        <v>0.13200000000000009</v>
      </c>
      <c r="B136" s="21">
        <f t="shared" si="12"/>
        <v>-6.7584287403824828E-2</v>
      </c>
      <c r="C136" s="21">
        <f t="shared" si="13"/>
        <v>-1.4045885821809059E-3</v>
      </c>
      <c r="N136" s="20" t="str">
        <f t="shared" si="14"/>
        <v/>
      </c>
      <c r="O136" s="20" t="str">
        <f t="shared" si="15"/>
        <v/>
      </c>
      <c r="P136" s="20" t="str">
        <f t="shared" si="16"/>
        <v/>
      </c>
    </row>
    <row r="137" spans="1:16" x14ac:dyDescent="0.25">
      <c r="A137" s="20">
        <f t="shared" si="17"/>
        <v>0.13300000000000009</v>
      </c>
      <c r="B137" s="21">
        <f t="shared" si="12"/>
        <v>-7.1277265176435289E-2</v>
      </c>
      <c r="C137" s="21">
        <f t="shared" si="13"/>
        <v>-3.1216827827169058E-3</v>
      </c>
      <c r="N137" s="20" t="str">
        <f t="shared" si="14"/>
        <v/>
      </c>
      <c r="O137" s="20" t="str">
        <f t="shared" si="15"/>
        <v/>
      </c>
      <c r="P137" s="20" t="str">
        <f t="shared" si="16"/>
        <v/>
      </c>
    </row>
    <row r="138" spans="1:16" x14ac:dyDescent="0.25">
      <c r="A138" s="20">
        <f t="shared" si="17"/>
        <v>0.13400000000000009</v>
      </c>
      <c r="B138" s="21">
        <f t="shared" si="12"/>
        <v>-7.4954442194600013E-2</v>
      </c>
      <c r="C138" s="21">
        <f t="shared" si="13"/>
        <v>-4.8321498057309065E-3</v>
      </c>
      <c r="N138" s="20" t="str">
        <f t="shared" si="14"/>
        <v/>
      </c>
      <c r="O138" s="20" t="str">
        <f t="shared" si="15"/>
        <v/>
      </c>
      <c r="P138" s="20" t="str">
        <f t="shared" si="16"/>
        <v/>
      </c>
    </row>
    <row r="139" spans="1:16" x14ac:dyDescent="0.25">
      <c r="A139" s="20">
        <f t="shared" si="17"/>
        <v>0.13500000000000009</v>
      </c>
      <c r="B139" s="21">
        <f t="shared" si="12"/>
        <v>-7.8615902021994977E-2</v>
      </c>
      <c r="C139" s="21">
        <f t="shared" si="13"/>
        <v>-6.5360232892962278E-3</v>
      </c>
      <c r="N139" s="20" t="str">
        <f t="shared" si="14"/>
        <v/>
      </c>
      <c r="O139" s="20" t="str">
        <f t="shared" si="15"/>
        <v/>
      </c>
      <c r="P139" s="20" t="str">
        <f t="shared" si="16"/>
        <v/>
      </c>
    </row>
    <row r="140" spans="1:16" x14ac:dyDescent="0.25">
      <c r="A140" s="20">
        <f t="shared" si="17"/>
        <v>0.13600000000000009</v>
      </c>
      <c r="B140" s="21">
        <f t="shared" si="12"/>
        <v>-8.2261727696474551E-2</v>
      </c>
      <c r="C140" s="21">
        <f t="shared" si="13"/>
        <v>-8.2333366648088407E-3</v>
      </c>
      <c r="N140" s="20" t="str">
        <f t="shared" si="14"/>
        <v/>
      </c>
      <c r="O140" s="20" t="str">
        <f t="shared" si="15"/>
        <v/>
      </c>
      <c r="P140" s="20" t="str">
        <f t="shared" si="16"/>
        <v/>
      </c>
    </row>
    <row r="141" spans="1:16" x14ac:dyDescent="0.25">
      <c r="A141" s="20">
        <f t="shared" si="17"/>
        <v>0.13700000000000009</v>
      </c>
      <c r="B141" s="21">
        <f t="shared" si="12"/>
        <v>-8.5892001733884449E-2</v>
      </c>
      <c r="C141" s="21">
        <f t="shared" si="13"/>
        <v>-9.9241231584598702E-3</v>
      </c>
      <c r="N141" s="20" t="str">
        <f t="shared" si="14"/>
        <v/>
      </c>
      <c r="O141" s="20" t="str">
        <f t="shared" si="15"/>
        <v/>
      </c>
      <c r="P141" s="20" t="str">
        <f t="shared" si="16"/>
        <v/>
      </c>
    </row>
    <row r="142" spans="1:16" x14ac:dyDescent="0.25">
      <c r="A142" s="20">
        <f t="shared" si="17"/>
        <v>0.13800000000000009</v>
      </c>
      <c r="B142" s="21">
        <f t="shared" si="12"/>
        <v>-8.9506806131862016E-2</v>
      </c>
      <c r="C142" s="21">
        <f t="shared" si="13"/>
        <v>-1.1608415792703705E-2</v>
      </c>
      <c r="N142" s="20" t="str">
        <f t="shared" si="14"/>
        <v/>
      </c>
      <c r="O142" s="20" t="str">
        <f t="shared" si="15"/>
        <v/>
      </c>
      <c r="P142" s="20" t="str">
        <f t="shared" si="16"/>
        <v/>
      </c>
    </row>
    <row r="143" spans="1:16" x14ac:dyDescent="0.25">
      <c r="A143" s="20">
        <f t="shared" si="17"/>
        <v>0.1390000000000001</v>
      </c>
      <c r="B143" s="21">
        <f t="shared" si="12"/>
        <v>-9.3106222373587455E-2</v>
      </c>
      <c r="C143" s="21">
        <f t="shared" si="13"/>
        <v>-1.3286247387707284E-2</v>
      </c>
      <c r="N143" s="20" t="str">
        <f t="shared" si="14"/>
        <v/>
      </c>
      <c r="O143" s="20" t="str">
        <f t="shared" si="15"/>
        <v/>
      </c>
      <c r="P143" s="20" t="str">
        <f t="shared" si="16"/>
        <v/>
      </c>
    </row>
    <row r="144" spans="1:16" x14ac:dyDescent="0.25">
      <c r="A144" s="20">
        <f t="shared" si="17"/>
        <v>0.1400000000000001</v>
      </c>
      <c r="B144" s="21">
        <f t="shared" si="12"/>
        <v>-9.6690331431517951E-2</v>
      </c>
      <c r="C144" s="21">
        <f t="shared" si="13"/>
        <v>-1.4957650562793606E-2</v>
      </c>
      <c r="N144" s="20" t="str">
        <f t="shared" si="14"/>
        <v/>
      </c>
      <c r="O144" s="20" t="str">
        <f t="shared" si="15"/>
        <v/>
      </c>
      <c r="P144" s="20" t="str">
        <f t="shared" si="16"/>
        <v/>
      </c>
    </row>
    <row r="145" spans="1:16" x14ac:dyDescent="0.25">
      <c r="A145" s="20">
        <f t="shared" si="17"/>
        <v>0.1410000000000001</v>
      </c>
      <c r="B145" s="21">
        <f t="shared" si="12"/>
        <v>-0.10025921377107894</v>
      </c>
      <c r="C145" s="21">
        <f t="shared" si="13"/>
        <v>-1.6622657737868349E-2</v>
      </c>
      <c r="N145" s="20" t="str">
        <f t="shared" si="14"/>
        <v/>
      </c>
      <c r="O145" s="20" t="str">
        <f t="shared" si="15"/>
        <v/>
      </c>
      <c r="P145" s="20" t="str">
        <f t="shared" si="16"/>
        <v/>
      </c>
    </row>
    <row r="146" spans="1:16" x14ac:dyDescent="0.25">
      <c r="A146" s="20">
        <f>A145+0.001</f>
        <v>0.1420000000000001</v>
      </c>
      <c r="B146" s="21">
        <f t="shared" si="12"/>
        <v>-0.10381294935433893</v>
      </c>
      <c r="C146" s="21">
        <f t="shared" si="13"/>
        <v>-1.8281301134840021E-2</v>
      </c>
      <c r="N146" s="20" t="str">
        <f t="shared" si="14"/>
        <v/>
      </c>
      <c r="O146" s="20" t="str">
        <f t="shared" si="15"/>
        <v/>
      </c>
      <c r="P146" s="20" t="str">
        <f t="shared" si="16"/>
        <v/>
      </c>
    </row>
    <row r="147" spans="1:16" x14ac:dyDescent="0.25">
      <c r="A147" s="20">
        <f t="shared" ref="A147:A150" si="18">A146+0.001</f>
        <v>0.1430000000000001</v>
      </c>
      <c r="B147" s="21">
        <f t="shared" si="12"/>
        <v>-0.10735161764363932</v>
      </c>
      <c r="C147" s="21">
        <f t="shared" si="13"/>
        <v>-1.9933612779024043E-2</v>
      </c>
      <c r="N147" s="20" t="str">
        <f t="shared" si="14"/>
        <v/>
      </c>
      <c r="O147" s="20" t="str">
        <f t="shared" si="15"/>
        <v/>
      </c>
      <c r="P147" s="20" t="str">
        <f t="shared" si="16"/>
        <v/>
      </c>
    </row>
    <row r="148" spans="1:16" x14ac:dyDescent="0.25">
      <c r="A148" s="20">
        <f t="shared" si="18"/>
        <v>0.1440000000000001</v>
      </c>
      <c r="B148" s="21">
        <f t="shared" si="12"/>
        <v>-0.11087529760521009</v>
      </c>
      <c r="C148" s="21">
        <f t="shared" si="13"/>
        <v>-2.1579624500539157E-2</v>
      </c>
      <c r="N148" s="20" t="str">
        <f t="shared" si="14"/>
        <v/>
      </c>
      <c r="O148" s="20" t="str">
        <f t="shared" si="15"/>
        <v/>
      </c>
      <c r="P148" s="20" t="str">
        <f t="shared" si="16"/>
        <v/>
      </c>
    </row>
    <row r="149" spans="1:16" x14ac:dyDescent="0.25">
      <c r="A149" s="20">
        <f t="shared" si="18"/>
        <v>0.1450000000000001</v>
      </c>
      <c r="B149" s="21">
        <f t="shared" si="12"/>
        <v>-0.11438406771273923</v>
      </c>
      <c r="C149" s="21">
        <f t="shared" si="13"/>
        <v>-2.3219367935689871E-2</v>
      </c>
      <c r="N149" s="20" t="str">
        <f t="shared" si="14"/>
        <v/>
      </c>
      <c r="O149" s="20" t="str">
        <f t="shared" si="15"/>
        <v/>
      </c>
      <c r="P149" s="20" t="str">
        <f t="shared" si="16"/>
        <v/>
      </c>
    </row>
    <row r="150" spans="1:16" x14ac:dyDescent="0.25">
      <c r="A150" s="20">
        <f t="shared" si="18"/>
        <v>0.1460000000000001</v>
      </c>
      <c r="B150" s="21">
        <f t="shared" si="12"/>
        <v>-0.11787800595093056</v>
      </c>
      <c r="C150" s="21">
        <f t="shared" si="13"/>
        <v>-2.485287452834016E-2</v>
      </c>
      <c r="N150" s="20" t="str">
        <f t="shared" si="14"/>
        <v/>
      </c>
      <c r="O150" s="20" t="str">
        <f t="shared" si="15"/>
        <v/>
      </c>
      <c r="P150" s="20" t="str">
        <f t="shared" si="16"/>
        <v/>
      </c>
    </row>
    <row r="151" spans="1:16" x14ac:dyDescent="0.25">
      <c r="A151" s="20">
        <f>A150+0.001</f>
        <v>0.1470000000000001</v>
      </c>
      <c r="B151" s="21">
        <f t="shared" si="12"/>
        <v>-0.121357189819016</v>
      </c>
      <c r="C151" s="21">
        <f t="shared" si="13"/>
        <v>-2.6480175531273395E-2</v>
      </c>
      <c r="N151" s="20" t="str">
        <f t="shared" si="14"/>
        <v/>
      </c>
      <c r="O151" s="20" t="str">
        <f t="shared" si="15"/>
        <v/>
      </c>
      <c r="P151" s="20" t="str">
        <f t="shared" si="16"/>
        <v/>
      </c>
    </row>
    <row r="152" spans="1:16" x14ac:dyDescent="0.25">
      <c r="A152" s="20">
        <f t="shared" ref="A152:A153" si="19">A151+0.001</f>
        <v>0.1480000000000001</v>
      </c>
      <c r="B152" s="21">
        <f t="shared" si="12"/>
        <v>-0.12482169633425411</v>
      </c>
      <c r="C152" s="21">
        <f t="shared" si="13"/>
        <v>-2.8101302007544765E-2</v>
      </c>
      <c r="N152" s="20" t="str">
        <f t="shared" si="14"/>
        <v/>
      </c>
      <c r="O152" s="20" t="str">
        <f t="shared" si="15"/>
        <v/>
      </c>
      <c r="P152" s="20" t="str">
        <f t="shared" si="16"/>
        <v/>
      </c>
    </row>
    <row r="153" spans="1:16" x14ac:dyDescent="0.25">
      <c r="A153" s="20">
        <f t="shared" si="19"/>
        <v>0.1490000000000001</v>
      </c>
      <c r="B153" s="21">
        <f t="shared" si="12"/>
        <v>-0.12827160203538535</v>
      </c>
      <c r="C153" s="21">
        <f t="shared" si="13"/>
        <v>-2.9716284831818825E-2</v>
      </c>
      <c r="N153" s="20" t="str">
        <f t="shared" si="14"/>
        <v/>
      </c>
      <c r="O153" s="20" t="str">
        <f t="shared" si="15"/>
        <v/>
      </c>
      <c r="P153" s="20" t="str">
        <f t="shared" si="16"/>
        <v/>
      </c>
    </row>
    <row r="154" spans="1:16" x14ac:dyDescent="0.25">
      <c r="A154" s="20">
        <f>A153+0.001</f>
        <v>0.15000000000000011</v>
      </c>
      <c r="B154" s="21">
        <f t="shared" si="12"/>
        <v>-0.13170698298607708</v>
      </c>
      <c r="C154" s="21">
        <f t="shared" si="13"/>
        <v>-3.132515469170135E-2</v>
      </c>
      <c r="N154" s="20" t="str">
        <f t="shared" si="14"/>
        <v/>
      </c>
      <c r="O154" s="20" t="str">
        <f t="shared" si="15"/>
        <v/>
      </c>
      <c r="P154" s="20" t="str">
        <f t="shared" si="16"/>
        <v/>
      </c>
    </row>
  </sheetData>
  <pageMargins left="0.7" right="0.7" top="0.75" bottom="0.75" header="0.3" footer="0.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3ECC1-03F2-4CA8-ABF7-DEBC643C0FD6}">
  <dimension ref="A1:P53"/>
  <sheetViews>
    <sheetView workbookViewId="0">
      <selection activeCell="C9" sqref="C9"/>
    </sheetView>
  </sheetViews>
  <sheetFormatPr defaultRowHeight="15" x14ac:dyDescent="0.25"/>
  <cols>
    <col min="1" max="1" width="39.85546875" customWidth="1"/>
    <col min="13" max="13" width="11.28515625" customWidth="1"/>
  </cols>
  <sheetData>
    <row r="1" spans="1:16" x14ac:dyDescent="0.25">
      <c r="A1" t="s">
        <v>39</v>
      </c>
    </row>
    <row r="3" spans="1:16" x14ac:dyDescent="0.25">
      <c r="A3" s="15" t="s">
        <v>40</v>
      </c>
      <c r="B3" s="31">
        <v>7.0000000000000007E-2</v>
      </c>
    </row>
    <row r="4" spans="1:16" x14ac:dyDescent="0.25">
      <c r="A4" s="15" t="s">
        <v>41</v>
      </c>
      <c r="B4" s="32">
        <v>3000</v>
      </c>
    </row>
    <row r="5" spans="1:16" x14ac:dyDescent="0.25">
      <c r="A5" s="15" t="s">
        <v>42</v>
      </c>
      <c r="B5" s="32">
        <v>20000</v>
      </c>
    </row>
    <row r="6" spans="1:16" x14ac:dyDescent="0.25">
      <c r="A6" s="15" t="s">
        <v>43</v>
      </c>
      <c r="B6" s="32">
        <v>30000</v>
      </c>
    </row>
    <row r="7" spans="1:16" x14ac:dyDescent="0.25">
      <c r="A7" s="15" t="s">
        <v>44</v>
      </c>
      <c r="B7" s="31">
        <v>0.04</v>
      </c>
    </row>
    <row r="8" spans="1:16" x14ac:dyDescent="0.25">
      <c r="A8" s="15" t="s">
        <v>45</v>
      </c>
      <c r="B8" s="32">
        <v>10000</v>
      </c>
    </row>
    <row r="9" spans="1:16" x14ac:dyDescent="0.25">
      <c r="A9" s="15" t="s">
        <v>46</v>
      </c>
      <c r="B9" s="32">
        <v>1500</v>
      </c>
      <c r="C9" t="s">
        <v>60</v>
      </c>
      <c r="N9" s="33" t="s">
        <v>47</v>
      </c>
      <c r="O9" s="34">
        <f>MAX(O13:O53)</f>
        <v>6</v>
      </c>
      <c r="P9" s="35" t="s">
        <v>48</v>
      </c>
    </row>
    <row r="10" spans="1:16" x14ac:dyDescent="0.25">
      <c r="A10" s="15" t="s">
        <v>49</v>
      </c>
      <c r="B10" s="31">
        <v>0.02</v>
      </c>
    </row>
    <row r="11" spans="1:16" x14ac:dyDescent="0.25">
      <c r="A11" s="5"/>
      <c r="B11" s="5"/>
      <c r="C11" s="5"/>
      <c r="D11" s="5"/>
      <c r="E11" s="5"/>
      <c r="F11" s="5"/>
      <c r="G11" s="5"/>
      <c r="H11" s="5"/>
      <c r="I11" s="5"/>
      <c r="J11" s="5"/>
      <c r="K11" s="5"/>
      <c r="L11" s="5"/>
      <c r="M11" s="5"/>
      <c r="N11" s="5"/>
      <c r="O11" s="5"/>
      <c r="P11" s="5"/>
    </row>
    <row r="12" spans="1:16" ht="75" x14ac:dyDescent="0.25">
      <c r="D12" s="36" t="s">
        <v>50</v>
      </c>
      <c r="E12" s="36" t="s">
        <v>51</v>
      </c>
      <c r="F12" s="36" t="s">
        <v>52</v>
      </c>
      <c r="G12" s="36" t="s">
        <v>53</v>
      </c>
      <c r="H12" s="36" t="s">
        <v>54</v>
      </c>
      <c r="I12" s="36" t="s">
        <v>55</v>
      </c>
      <c r="J12" s="36" t="s">
        <v>56</v>
      </c>
      <c r="K12" s="36" t="s">
        <v>7</v>
      </c>
      <c r="L12" s="36" t="s">
        <v>8</v>
      </c>
      <c r="M12" s="36" t="s">
        <v>57</v>
      </c>
      <c r="N12" s="36" t="s">
        <v>58</v>
      </c>
      <c r="O12" s="36" t="s">
        <v>59</v>
      </c>
    </row>
    <row r="13" spans="1:16" x14ac:dyDescent="0.25">
      <c r="D13" s="37">
        <v>0</v>
      </c>
      <c r="E13" s="9">
        <f t="shared" ref="E13:E20" si="0">TrainCost</f>
        <v>3000</v>
      </c>
      <c r="F13" s="9"/>
      <c r="G13" s="9"/>
      <c r="H13" s="9"/>
      <c r="I13" s="37"/>
      <c r="J13" s="9">
        <f>-E13-F13+G13-H13-I13</f>
        <v>-3000</v>
      </c>
      <c r="K13" s="8">
        <f t="shared" ref="K13:K53" si="1">(1+int)^(-D13)</f>
        <v>1</v>
      </c>
      <c r="L13" s="9">
        <f>J13*K13</f>
        <v>-3000</v>
      </c>
      <c r="M13" s="9">
        <f>SUM($L$13:L13)</f>
        <v>-3000</v>
      </c>
      <c r="N13" s="12">
        <f>IF(M13&gt;0,1,0)</f>
        <v>0</v>
      </c>
      <c r="O13" s="37" t="str">
        <f>IF(AND(N13=1,N12=0),D13,"")</f>
        <v/>
      </c>
    </row>
    <row r="14" spans="1:16" x14ac:dyDescent="0.25">
      <c r="D14" s="37">
        <f>D13+0.25</f>
        <v>0.25</v>
      </c>
      <c r="E14" s="9">
        <f t="shared" si="0"/>
        <v>3000</v>
      </c>
      <c r="F14" s="9">
        <f t="shared" ref="F14:F21" si="2">LostProd/4</f>
        <v>5000</v>
      </c>
      <c r="G14" s="9"/>
      <c r="H14" s="9"/>
      <c r="I14" s="37"/>
      <c r="J14" s="9">
        <f t="shared" ref="J14:J53" si="3">-E14-F14+G14-H14-I14</f>
        <v>-8000</v>
      </c>
      <c r="K14" s="8">
        <f t="shared" si="1"/>
        <v>0.98322758761421225</v>
      </c>
      <c r="L14" s="9">
        <f t="shared" ref="L14:L53" si="4">J14*K14</f>
        <v>-7865.8207009136977</v>
      </c>
      <c r="M14" s="9">
        <f>SUM($L$13:L14)</f>
        <v>-10865.820700913697</v>
      </c>
      <c r="N14" s="12">
        <f t="shared" ref="N14:N53" si="5">IF(M14&gt;0,1,0)</f>
        <v>0</v>
      </c>
      <c r="O14" s="37" t="str">
        <f t="shared" ref="O14:O53" si="6">IF(AND(N14=1,N13=0),D14,"")</f>
        <v/>
      </c>
    </row>
    <row r="15" spans="1:16" x14ac:dyDescent="0.25">
      <c r="D15" s="37">
        <f t="shared" ref="D15:D53" si="7">D14+0.25</f>
        <v>0.5</v>
      </c>
      <c r="E15" s="9">
        <f t="shared" si="0"/>
        <v>3000</v>
      </c>
      <c r="F15" s="9">
        <f t="shared" si="2"/>
        <v>5000</v>
      </c>
      <c r="G15" s="9"/>
      <c r="H15" s="9"/>
      <c r="I15" s="37"/>
      <c r="J15" s="9">
        <f t="shared" si="3"/>
        <v>-8000</v>
      </c>
      <c r="K15" s="8">
        <f t="shared" si="1"/>
        <v>0.96673648904566356</v>
      </c>
      <c r="L15" s="9">
        <f t="shared" si="4"/>
        <v>-7733.8919123653086</v>
      </c>
      <c r="M15" s="9">
        <f>SUM($L$13:L15)</f>
        <v>-18599.712613279007</v>
      </c>
      <c r="N15" s="12">
        <f t="shared" si="5"/>
        <v>0</v>
      </c>
      <c r="O15" s="37" t="str">
        <f t="shared" si="6"/>
        <v/>
      </c>
    </row>
    <row r="16" spans="1:16" x14ac:dyDescent="0.25">
      <c r="D16" s="37">
        <f t="shared" si="7"/>
        <v>0.75</v>
      </c>
      <c r="E16" s="9">
        <f t="shared" si="0"/>
        <v>3000</v>
      </c>
      <c r="F16" s="9">
        <f t="shared" si="2"/>
        <v>5000</v>
      </c>
      <c r="G16" s="9"/>
      <c r="H16" s="9"/>
      <c r="I16" s="37"/>
      <c r="J16" s="9">
        <f t="shared" si="3"/>
        <v>-8000</v>
      </c>
      <c r="K16" s="8">
        <f t="shared" si="1"/>
        <v>0.95052198598300108</v>
      </c>
      <c r="L16" s="9">
        <f t="shared" si="4"/>
        <v>-7604.1758878640085</v>
      </c>
      <c r="M16" s="9">
        <f>SUM($L$13:L16)</f>
        <v>-26203.888501143017</v>
      </c>
      <c r="N16" s="12">
        <f t="shared" si="5"/>
        <v>0</v>
      </c>
      <c r="O16" s="37" t="str">
        <f t="shared" si="6"/>
        <v/>
      </c>
    </row>
    <row r="17" spans="4:15" x14ac:dyDescent="0.25">
      <c r="D17" s="37">
        <f t="shared" si="7"/>
        <v>1</v>
      </c>
      <c r="E17" s="9">
        <f t="shared" si="0"/>
        <v>3000</v>
      </c>
      <c r="F17" s="9">
        <f t="shared" si="2"/>
        <v>5000</v>
      </c>
      <c r="G17" s="9"/>
      <c r="H17" s="9"/>
      <c r="I17" s="37"/>
      <c r="J17" s="9">
        <f t="shared" si="3"/>
        <v>-8000</v>
      </c>
      <c r="K17" s="8">
        <f t="shared" si="1"/>
        <v>0.93457943925233644</v>
      </c>
      <c r="L17" s="9">
        <f t="shared" si="4"/>
        <v>-7476.6355140186915</v>
      </c>
      <c r="M17" s="9">
        <f>SUM($L$13:L17)</f>
        <v>-33680.524015161711</v>
      </c>
      <c r="N17" s="12">
        <f t="shared" si="5"/>
        <v>0</v>
      </c>
      <c r="O17" s="37" t="str">
        <f t="shared" si="6"/>
        <v/>
      </c>
    </row>
    <row r="18" spans="4:15" x14ac:dyDescent="0.25">
      <c r="D18" s="37">
        <f t="shared" si="7"/>
        <v>1.25</v>
      </c>
      <c r="E18" s="9">
        <f t="shared" si="0"/>
        <v>3000</v>
      </c>
      <c r="F18" s="9">
        <f t="shared" si="2"/>
        <v>5000</v>
      </c>
      <c r="G18" s="9"/>
      <c r="H18" s="9"/>
      <c r="I18" s="37"/>
      <c r="J18" s="9">
        <f t="shared" si="3"/>
        <v>-8000</v>
      </c>
      <c r="K18" s="8">
        <f t="shared" si="1"/>
        <v>0.91890428748991804</v>
      </c>
      <c r="L18" s="9">
        <f t="shared" si="4"/>
        <v>-7351.2342999193443</v>
      </c>
      <c r="M18" s="9">
        <f>SUM($L$13:L18)</f>
        <v>-41031.758315081053</v>
      </c>
      <c r="N18" s="12">
        <f t="shared" si="5"/>
        <v>0</v>
      </c>
      <c r="O18" s="37" t="str">
        <f t="shared" si="6"/>
        <v/>
      </c>
    </row>
    <row r="19" spans="4:15" x14ac:dyDescent="0.25">
      <c r="D19" s="37">
        <f t="shared" si="7"/>
        <v>1.5</v>
      </c>
      <c r="E19" s="9">
        <f t="shared" si="0"/>
        <v>3000</v>
      </c>
      <c r="F19" s="9">
        <f t="shared" si="2"/>
        <v>5000</v>
      </c>
      <c r="G19" s="9"/>
      <c r="H19" s="9"/>
      <c r="I19" s="37"/>
      <c r="J19" s="9">
        <f t="shared" si="3"/>
        <v>-8000</v>
      </c>
      <c r="K19" s="8">
        <f t="shared" si="1"/>
        <v>0.90349204583706866</v>
      </c>
      <c r="L19" s="9">
        <f t="shared" si="4"/>
        <v>-7227.9363666965492</v>
      </c>
      <c r="M19" s="9">
        <f>SUM($L$13:L19)</f>
        <v>-48259.694681777604</v>
      </c>
      <c r="N19" s="12">
        <f t="shared" si="5"/>
        <v>0</v>
      </c>
      <c r="O19" s="37" t="str">
        <f t="shared" si="6"/>
        <v/>
      </c>
    </row>
    <row r="20" spans="4:15" x14ac:dyDescent="0.25">
      <c r="D20" s="37">
        <f t="shared" si="7"/>
        <v>1.75</v>
      </c>
      <c r="E20" s="9">
        <f t="shared" si="0"/>
        <v>3000</v>
      </c>
      <c r="F20" s="9">
        <f t="shared" si="2"/>
        <v>5000</v>
      </c>
      <c r="G20" s="9"/>
      <c r="H20" s="9"/>
      <c r="I20" s="37"/>
      <c r="J20" s="9">
        <f t="shared" si="3"/>
        <v>-8000</v>
      </c>
      <c r="K20" s="8">
        <f t="shared" si="1"/>
        <v>0.88833830465701036</v>
      </c>
      <c r="L20" s="9">
        <f t="shared" si="4"/>
        <v>-7106.7064372560826</v>
      </c>
      <c r="M20" s="9">
        <f>SUM($L$13:L20)</f>
        <v>-55366.40111903369</v>
      </c>
      <c r="N20" s="12">
        <f t="shared" si="5"/>
        <v>0</v>
      </c>
      <c r="O20" s="37" t="str">
        <f t="shared" si="6"/>
        <v/>
      </c>
    </row>
    <row r="21" spans="4:15" x14ac:dyDescent="0.25">
      <c r="D21" s="37">
        <f t="shared" si="7"/>
        <v>2</v>
      </c>
      <c r="E21" s="9"/>
      <c r="F21" s="9">
        <f t="shared" si="2"/>
        <v>5000</v>
      </c>
      <c r="G21" s="9"/>
      <c r="H21" s="9"/>
      <c r="I21" s="37"/>
      <c r="J21" s="9">
        <f t="shared" si="3"/>
        <v>-5000</v>
      </c>
      <c r="K21" s="8">
        <f t="shared" si="1"/>
        <v>0.87343872827321156</v>
      </c>
      <c r="L21" s="9">
        <f t="shared" si="4"/>
        <v>-4367.1936413660578</v>
      </c>
      <c r="M21" s="9">
        <f>SUM($L$13:L21)</f>
        <v>-59733.594760399748</v>
      </c>
      <c r="N21" s="12">
        <f t="shared" si="5"/>
        <v>0</v>
      </c>
      <c r="O21" s="37" t="str">
        <f t="shared" si="6"/>
        <v/>
      </c>
    </row>
    <row r="22" spans="4:15" x14ac:dyDescent="0.25">
      <c r="D22" s="37">
        <f t="shared" si="7"/>
        <v>2.25</v>
      </c>
      <c r="E22" s="9"/>
      <c r="F22" s="9"/>
      <c r="G22" s="9">
        <f t="shared" ref="G22:G53" si="8">(AddRev/4)*(1+RevInc)^(INT(D22-0.25)-2)</f>
        <v>7500</v>
      </c>
      <c r="H22" s="9">
        <f t="shared" ref="H22:H53" si="9">(AddSal/4)*(1+SalInc)^(INT(D22-0.25)-2)</f>
        <v>2500</v>
      </c>
      <c r="I22" s="37"/>
      <c r="J22" s="9">
        <f t="shared" si="3"/>
        <v>5000</v>
      </c>
      <c r="K22" s="8">
        <f t="shared" si="1"/>
        <v>0.85878905372889525</v>
      </c>
      <c r="L22" s="9">
        <f t="shared" si="4"/>
        <v>4293.9452686444765</v>
      </c>
      <c r="M22" s="9">
        <f>SUM($L$13:L22)</f>
        <v>-55439.64949175527</v>
      </c>
      <c r="N22" s="12">
        <f t="shared" si="5"/>
        <v>0</v>
      </c>
      <c r="O22" s="37" t="str">
        <f t="shared" si="6"/>
        <v/>
      </c>
    </row>
    <row r="23" spans="4:15" x14ac:dyDescent="0.25">
      <c r="D23" s="37">
        <f t="shared" si="7"/>
        <v>2.5</v>
      </c>
      <c r="E23" s="9"/>
      <c r="F23" s="9"/>
      <c r="G23" s="9">
        <f t="shared" si="8"/>
        <v>7500</v>
      </c>
      <c r="H23" s="9">
        <f t="shared" si="9"/>
        <v>2500</v>
      </c>
      <c r="I23" s="37"/>
      <c r="J23" s="9">
        <f t="shared" si="3"/>
        <v>5000</v>
      </c>
      <c r="K23" s="8">
        <f t="shared" si="1"/>
        <v>0.84438508956735392</v>
      </c>
      <c r="L23" s="9">
        <f t="shared" si="4"/>
        <v>4221.9254478367693</v>
      </c>
      <c r="M23" s="9">
        <f>SUM($L$13:L23)</f>
        <v>-51217.724043918497</v>
      </c>
      <c r="N23" s="12">
        <f t="shared" si="5"/>
        <v>0</v>
      </c>
      <c r="O23" s="37" t="str">
        <f t="shared" si="6"/>
        <v/>
      </c>
    </row>
    <row r="24" spans="4:15" x14ac:dyDescent="0.25">
      <c r="D24" s="37">
        <f t="shared" si="7"/>
        <v>2.75</v>
      </c>
      <c r="E24" s="9"/>
      <c r="F24" s="9"/>
      <c r="G24" s="9">
        <f t="shared" si="8"/>
        <v>7500</v>
      </c>
      <c r="H24" s="9">
        <f t="shared" si="9"/>
        <v>2500</v>
      </c>
      <c r="I24" s="37"/>
      <c r="J24" s="9">
        <f t="shared" si="3"/>
        <v>5000</v>
      </c>
      <c r="K24" s="8">
        <f t="shared" si="1"/>
        <v>0.83022271463272002</v>
      </c>
      <c r="L24" s="9">
        <f t="shared" si="4"/>
        <v>4151.1135731636004</v>
      </c>
      <c r="M24" s="9">
        <f>SUM($L$13:L24)</f>
        <v>-47066.610470754895</v>
      </c>
      <c r="N24" s="12">
        <f t="shared" si="5"/>
        <v>0</v>
      </c>
      <c r="O24" s="37" t="str">
        <f t="shared" si="6"/>
        <v/>
      </c>
    </row>
    <row r="25" spans="4:15" x14ac:dyDescent="0.25">
      <c r="D25" s="37">
        <f t="shared" si="7"/>
        <v>3</v>
      </c>
      <c r="E25" s="9"/>
      <c r="F25" s="9"/>
      <c r="G25" s="9">
        <f t="shared" si="8"/>
        <v>7500</v>
      </c>
      <c r="H25" s="9">
        <f t="shared" si="9"/>
        <v>2500</v>
      </c>
      <c r="I25" s="9">
        <f t="shared" ref="I25:I53" si="10">IF(D25=INT(D25), AddBonus*(1+SalInc)^(D25-3),0)</f>
        <v>1500</v>
      </c>
      <c r="J25" s="9">
        <f t="shared" si="3"/>
        <v>3500</v>
      </c>
      <c r="K25" s="8">
        <f t="shared" si="1"/>
        <v>0.81629787689085187</v>
      </c>
      <c r="L25" s="9">
        <f t="shared" si="4"/>
        <v>2857.0425691179817</v>
      </c>
      <c r="M25" s="9">
        <f>SUM($L$13:L25)</f>
        <v>-44209.56790163691</v>
      </c>
      <c r="N25" s="12">
        <f t="shared" si="5"/>
        <v>0</v>
      </c>
      <c r="O25" s="37" t="str">
        <f t="shared" si="6"/>
        <v/>
      </c>
    </row>
    <row r="26" spans="4:15" x14ac:dyDescent="0.25">
      <c r="D26" s="37">
        <f t="shared" si="7"/>
        <v>3.25</v>
      </c>
      <c r="E26" s="9"/>
      <c r="F26" s="9"/>
      <c r="G26" s="9">
        <f t="shared" si="8"/>
        <v>7800</v>
      </c>
      <c r="H26" s="9">
        <f t="shared" si="9"/>
        <v>2550</v>
      </c>
      <c r="I26" s="9">
        <f t="shared" si="10"/>
        <v>0</v>
      </c>
      <c r="J26" s="9">
        <f t="shared" si="3"/>
        <v>5250</v>
      </c>
      <c r="K26" s="8">
        <f t="shared" si="1"/>
        <v>0.80260659226999553</v>
      </c>
      <c r="L26" s="9">
        <f t="shared" si="4"/>
        <v>4213.6846094174762</v>
      </c>
      <c r="M26" s="9">
        <f>SUM($L$13:L26)</f>
        <v>-39995.883292219434</v>
      </c>
      <c r="N26" s="12">
        <f t="shared" si="5"/>
        <v>0</v>
      </c>
      <c r="O26" s="37" t="str">
        <f t="shared" si="6"/>
        <v/>
      </c>
    </row>
    <row r="27" spans="4:15" x14ac:dyDescent="0.25">
      <c r="D27" s="37">
        <f t="shared" si="7"/>
        <v>3.5</v>
      </c>
      <c r="E27" s="9"/>
      <c r="F27" s="9"/>
      <c r="G27" s="9">
        <f t="shared" si="8"/>
        <v>7800</v>
      </c>
      <c r="H27" s="9">
        <f t="shared" si="9"/>
        <v>2550</v>
      </c>
      <c r="I27" s="9">
        <f t="shared" si="10"/>
        <v>0</v>
      </c>
      <c r="J27" s="9">
        <f t="shared" si="3"/>
        <v>5250</v>
      </c>
      <c r="K27" s="8">
        <f t="shared" si="1"/>
        <v>0.78914494352089137</v>
      </c>
      <c r="L27" s="9">
        <f t="shared" si="4"/>
        <v>4143.0109534846797</v>
      </c>
      <c r="M27" s="9">
        <f>SUM($L$13:L27)</f>
        <v>-35852.872338734756</v>
      </c>
      <c r="N27" s="12">
        <f t="shared" si="5"/>
        <v>0</v>
      </c>
      <c r="O27" s="37" t="str">
        <f t="shared" si="6"/>
        <v/>
      </c>
    </row>
    <row r="28" spans="4:15" x14ac:dyDescent="0.25">
      <c r="D28" s="37">
        <f t="shared" si="7"/>
        <v>3.75</v>
      </c>
      <c r="E28" s="9"/>
      <c r="F28" s="9"/>
      <c r="G28" s="9">
        <f t="shared" si="8"/>
        <v>7800</v>
      </c>
      <c r="H28" s="9">
        <f t="shared" si="9"/>
        <v>2550</v>
      </c>
      <c r="I28" s="9">
        <f t="shared" si="10"/>
        <v>0</v>
      </c>
      <c r="J28" s="9">
        <f t="shared" si="3"/>
        <v>5250</v>
      </c>
      <c r="K28" s="8">
        <f t="shared" si="1"/>
        <v>0.77590907909599982</v>
      </c>
      <c r="L28" s="9">
        <f t="shared" si="4"/>
        <v>4073.5226652539991</v>
      </c>
      <c r="M28" s="9">
        <f>SUM($L$13:L28)</f>
        <v>-31779.349673480756</v>
      </c>
      <c r="N28" s="12">
        <f t="shared" si="5"/>
        <v>0</v>
      </c>
      <c r="O28" s="37" t="str">
        <f t="shared" si="6"/>
        <v/>
      </c>
    </row>
    <row r="29" spans="4:15" x14ac:dyDescent="0.25">
      <c r="D29" s="37">
        <f t="shared" si="7"/>
        <v>4</v>
      </c>
      <c r="E29" s="9"/>
      <c r="F29" s="9"/>
      <c r="G29" s="9">
        <f t="shared" si="8"/>
        <v>7800</v>
      </c>
      <c r="H29" s="9">
        <f t="shared" si="9"/>
        <v>2550</v>
      </c>
      <c r="I29" s="9">
        <f t="shared" si="10"/>
        <v>1530</v>
      </c>
      <c r="J29" s="9">
        <f t="shared" si="3"/>
        <v>3720</v>
      </c>
      <c r="K29" s="8">
        <f t="shared" si="1"/>
        <v>0.7628952120475252</v>
      </c>
      <c r="L29" s="9">
        <f t="shared" si="4"/>
        <v>2837.9701888167938</v>
      </c>
      <c r="M29" s="9">
        <f>SUM($L$13:L29)</f>
        <v>-28941.379484663961</v>
      </c>
      <c r="N29" s="12">
        <f t="shared" si="5"/>
        <v>0</v>
      </c>
      <c r="O29" s="37" t="str">
        <f t="shared" si="6"/>
        <v/>
      </c>
    </row>
    <row r="30" spans="4:15" x14ac:dyDescent="0.25">
      <c r="D30" s="37">
        <f t="shared" si="7"/>
        <v>4.25</v>
      </c>
      <c r="E30" s="9"/>
      <c r="F30" s="9"/>
      <c r="G30" s="9">
        <f t="shared" si="8"/>
        <v>8112.0000000000009</v>
      </c>
      <c r="H30" s="9">
        <f t="shared" si="9"/>
        <v>2601</v>
      </c>
      <c r="I30" s="9">
        <f t="shared" si="10"/>
        <v>0</v>
      </c>
      <c r="J30" s="9">
        <f t="shared" si="3"/>
        <v>5511.0000000000009</v>
      </c>
      <c r="K30" s="8">
        <f t="shared" si="1"/>
        <v>0.75009961894392096</v>
      </c>
      <c r="L30" s="9">
        <f t="shared" si="4"/>
        <v>4133.798999999949</v>
      </c>
      <c r="M30" s="9">
        <f>SUM($L$13:L30)</f>
        <v>-24807.580484664013</v>
      </c>
      <c r="N30" s="12">
        <f t="shared" si="5"/>
        <v>0</v>
      </c>
      <c r="O30" s="37" t="str">
        <f t="shared" si="6"/>
        <v/>
      </c>
    </row>
    <row r="31" spans="4:15" x14ac:dyDescent="0.25">
      <c r="D31" s="37">
        <f t="shared" si="7"/>
        <v>4.5</v>
      </c>
      <c r="E31" s="9"/>
      <c r="F31" s="9"/>
      <c r="G31" s="9">
        <f t="shared" si="8"/>
        <v>8112.0000000000009</v>
      </c>
      <c r="H31" s="9">
        <f t="shared" si="9"/>
        <v>2601</v>
      </c>
      <c r="I31" s="9">
        <f t="shared" si="10"/>
        <v>0</v>
      </c>
      <c r="J31" s="9">
        <f t="shared" si="3"/>
        <v>5511.0000000000009</v>
      </c>
      <c r="K31" s="8">
        <f t="shared" si="1"/>
        <v>0.73751863880457136</v>
      </c>
      <c r="L31" s="9">
        <f t="shared" si="4"/>
        <v>4064.4652184519932</v>
      </c>
      <c r="M31" s="9">
        <f>SUM($L$13:L31)</f>
        <v>-20743.115266212018</v>
      </c>
      <c r="N31" s="12">
        <f t="shared" si="5"/>
        <v>0</v>
      </c>
      <c r="O31" s="37" t="str">
        <f t="shared" si="6"/>
        <v/>
      </c>
    </row>
    <row r="32" spans="4:15" x14ac:dyDescent="0.25">
      <c r="D32" s="37">
        <f t="shared" si="7"/>
        <v>4.75</v>
      </c>
      <c r="E32" s="9"/>
      <c r="F32" s="9"/>
      <c r="G32" s="9">
        <f t="shared" si="8"/>
        <v>8112.0000000000009</v>
      </c>
      <c r="H32" s="9">
        <f t="shared" si="9"/>
        <v>2601</v>
      </c>
      <c r="I32" s="9">
        <f t="shared" si="10"/>
        <v>0</v>
      </c>
      <c r="J32" s="9">
        <f t="shared" si="3"/>
        <v>5511.0000000000009</v>
      </c>
      <c r="K32" s="8">
        <f t="shared" si="1"/>
        <v>0.72514867205233635</v>
      </c>
      <c r="L32" s="9">
        <f t="shared" si="4"/>
        <v>3996.2943316804262</v>
      </c>
      <c r="M32" s="9">
        <f>SUM($L$13:L32)</f>
        <v>-16746.820934531592</v>
      </c>
      <c r="N32" s="12">
        <f t="shared" si="5"/>
        <v>0</v>
      </c>
      <c r="O32" s="37" t="str">
        <f t="shared" si="6"/>
        <v/>
      </c>
    </row>
    <row r="33" spans="4:15" x14ac:dyDescent="0.25">
      <c r="D33" s="37">
        <f t="shared" si="7"/>
        <v>5</v>
      </c>
      <c r="E33" s="9"/>
      <c r="F33" s="9"/>
      <c r="G33" s="9">
        <f t="shared" si="8"/>
        <v>8112.0000000000009</v>
      </c>
      <c r="H33" s="9">
        <f t="shared" si="9"/>
        <v>2601</v>
      </c>
      <c r="I33" s="9">
        <f t="shared" si="10"/>
        <v>1560.6</v>
      </c>
      <c r="J33" s="9">
        <f t="shared" si="3"/>
        <v>3950.400000000001</v>
      </c>
      <c r="K33" s="8">
        <f t="shared" si="1"/>
        <v>0.71298617948366838</v>
      </c>
      <c r="L33" s="9">
        <f t="shared" si="4"/>
        <v>2816.5806034322841</v>
      </c>
      <c r="M33" s="9">
        <f>SUM($L$13:L33)</f>
        <v>-13930.240331099307</v>
      </c>
      <c r="N33" s="12">
        <f t="shared" si="5"/>
        <v>0</v>
      </c>
      <c r="O33" s="37" t="str">
        <f t="shared" si="6"/>
        <v/>
      </c>
    </row>
    <row r="34" spans="4:15" x14ac:dyDescent="0.25">
      <c r="D34" s="37">
        <f t="shared" si="7"/>
        <v>5.25</v>
      </c>
      <c r="E34" s="9"/>
      <c r="F34" s="9"/>
      <c r="G34" s="9">
        <f t="shared" si="8"/>
        <v>8436.4800000000014</v>
      </c>
      <c r="H34" s="9">
        <f t="shared" si="9"/>
        <v>2653.02</v>
      </c>
      <c r="I34" s="9">
        <f t="shared" si="10"/>
        <v>0</v>
      </c>
      <c r="J34" s="9">
        <f t="shared" si="3"/>
        <v>5783.4600000000009</v>
      </c>
      <c r="K34" s="8">
        <f t="shared" si="1"/>
        <v>0.7010276812560009</v>
      </c>
      <c r="L34" s="9">
        <f t="shared" si="4"/>
        <v>4054.3655534368318</v>
      </c>
      <c r="M34" s="9">
        <f>SUM($L$13:L34)</f>
        <v>-9875.874777662475</v>
      </c>
      <c r="N34" s="12">
        <f t="shared" si="5"/>
        <v>0</v>
      </c>
      <c r="O34" s="37" t="str">
        <f t="shared" si="6"/>
        <v/>
      </c>
    </row>
    <row r="35" spans="4:15" x14ac:dyDescent="0.25">
      <c r="D35" s="37">
        <f t="shared" si="7"/>
        <v>5.5</v>
      </c>
      <c r="E35" s="9"/>
      <c r="F35" s="9"/>
      <c r="G35" s="9">
        <f t="shared" si="8"/>
        <v>8436.4800000000014</v>
      </c>
      <c r="H35" s="9">
        <f t="shared" si="9"/>
        <v>2653.02</v>
      </c>
      <c r="I35" s="9">
        <f t="shared" si="10"/>
        <v>0</v>
      </c>
      <c r="J35" s="9">
        <f t="shared" si="3"/>
        <v>5783.4600000000009</v>
      </c>
      <c r="K35" s="8">
        <f t="shared" si="1"/>
        <v>0.68926975589212269</v>
      </c>
      <c r="L35" s="9">
        <f t="shared" si="4"/>
        <v>3986.3640624118566</v>
      </c>
      <c r="M35" s="9">
        <f>SUM($L$13:L35)</f>
        <v>-5889.5107152506189</v>
      </c>
      <c r="N35" s="12">
        <f t="shared" si="5"/>
        <v>0</v>
      </c>
      <c r="O35" s="37" t="str">
        <f t="shared" si="6"/>
        <v/>
      </c>
    </row>
    <row r="36" spans="4:15" x14ac:dyDescent="0.25">
      <c r="D36" s="37">
        <f t="shared" si="7"/>
        <v>5.75</v>
      </c>
      <c r="E36" s="9"/>
      <c r="F36" s="9"/>
      <c r="G36" s="9">
        <f t="shared" si="8"/>
        <v>8436.4800000000014</v>
      </c>
      <c r="H36" s="9">
        <f t="shared" si="9"/>
        <v>2653.02</v>
      </c>
      <c r="I36" s="9">
        <f t="shared" si="10"/>
        <v>0</v>
      </c>
      <c r="J36" s="9">
        <f t="shared" si="3"/>
        <v>5783.4600000000009</v>
      </c>
      <c r="K36" s="8">
        <f t="shared" si="1"/>
        <v>0.67770903930124882</v>
      </c>
      <c r="L36" s="9">
        <f t="shared" si="4"/>
        <v>3919.5031204372012</v>
      </c>
      <c r="M36" s="9">
        <f>SUM($L$13:L36)</f>
        <v>-1970.0075948134177</v>
      </c>
      <c r="N36" s="12">
        <f t="shared" si="5"/>
        <v>0</v>
      </c>
      <c r="O36" s="37" t="str">
        <f t="shared" si="6"/>
        <v/>
      </c>
    </row>
    <row r="37" spans="4:15" x14ac:dyDescent="0.25">
      <c r="D37" s="37">
        <f t="shared" si="7"/>
        <v>6</v>
      </c>
      <c r="E37" s="9"/>
      <c r="F37" s="9"/>
      <c r="G37" s="9">
        <f t="shared" si="8"/>
        <v>8436.4800000000014</v>
      </c>
      <c r="H37" s="9">
        <f t="shared" si="9"/>
        <v>2653.02</v>
      </c>
      <c r="I37" s="9">
        <f t="shared" si="10"/>
        <v>1591.8119999999999</v>
      </c>
      <c r="J37" s="9">
        <f t="shared" si="3"/>
        <v>4191.648000000001</v>
      </c>
      <c r="K37" s="8">
        <f t="shared" si="1"/>
        <v>0.66634222381651254</v>
      </c>
      <c r="L37" s="9">
        <f t="shared" si="4"/>
        <v>2793.0720497760381</v>
      </c>
      <c r="M37" s="9">
        <f>SUM($L$13:L37)</f>
        <v>823.0644549626204</v>
      </c>
      <c r="N37" s="12">
        <f t="shared" si="5"/>
        <v>1</v>
      </c>
      <c r="O37" s="37">
        <f t="shared" si="6"/>
        <v>6</v>
      </c>
    </row>
    <row r="38" spans="4:15" x14ac:dyDescent="0.25">
      <c r="D38" s="37">
        <f t="shared" si="7"/>
        <v>6.25</v>
      </c>
      <c r="E38" s="9"/>
      <c r="F38" s="9"/>
      <c r="G38" s="9">
        <f t="shared" si="8"/>
        <v>8773.9392000000007</v>
      </c>
      <c r="H38" s="9">
        <f t="shared" si="9"/>
        <v>2706.0803999999998</v>
      </c>
      <c r="I38" s="9">
        <f t="shared" si="10"/>
        <v>0</v>
      </c>
      <c r="J38" s="9">
        <f t="shared" si="3"/>
        <v>6067.8588000000009</v>
      </c>
      <c r="K38" s="8">
        <f t="shared" si="1"/>
        <v>0.65516605724859889</v>
      </c>
      <c r="L38" s="9">
        <f t="shared" si="4"/>
        <v>3975.4551259372151</v>
      </c>
      <c r="M38" s="9">
        <f>SUM($L$13:L38)</f>
        <v>4798.519580899836</v>
      </c>
      <c r="N38" s="12">
        <f t="shared" si="5"/>
        <v>1</v>
      </c>
      <c r="O38" s="37" t="str">
        <f t="shared" si="6"/>
        <v/>
      </c>
    </row>
    <row r="39" spans="4:15" x14ac:dyDescent="0.25">
      <c r="D39" s="37">
        <f t="shared" si="7"/>
        <v>6.5</v>
      </c>
      <c r="E39" s="9"/>
      <c r="F39" s="9"/>
      <c r="G39" s="9">
        <f t="shared" si="8"/>
        <v>8773.9392000000007</v>
      </c>
      <c r="H39" s="9">
        <f t="shared" si="9"/>
        <v>2706.0803999999998</v>
      </c>
      <c r="I39" s="9">
        <f t="shared" si="10"/>
        <v>0</v>
      </c>
      <c r="J39" s="9">
        <f t="shared" si="3"/>
        <v>6067.8588000000009</v>
      </c>
      <c r="K39" s="8">
        <f t="shared" si="1"/>
        <v>0.64417734195525478</v>
      </c>
      <c r="L39" s="9">
        <f t="shared" si="4"/>
        <v>3908.7771531438025</v>
      </c>
      <c r="M39" s="9">
        <f>SUM($L$13:L39)</f>
        <v>8707.2967340436389</v>
      </c>
      <c r="N39" s="12">
        <f t="shared" si="5"/>
        <v>1</v>
      </c>
      <c r="O39" s="37" t="str">
        <f t="shared" si="6"/>
        <v/>
      </c>
    </row>
    <row r="40" spans="4:15" x14ac:dyDescent="0.25">
      <c r="D40" s="37">
        <f t="shared" si="7"/>
        <v>6.75</v>
      </c>
      <c r="E40" s="9"/>
      <c r="F40" s="9"/>
      <c r="G40" s="9">
        <f t="shared" si="8"/>
        <v>8773.9392000000007</v>
      </c>
      <c r="H40" s="9">
        <f t="shared" si="9"/>
        <v>2706.0803999999998</v>
      </c>
      <c r="I40" s="9">
        <f t="shared" si="10"/>
        <v>0</v>
      </c>
      <c r="J40" s="9">
        <f t="shared" si="3"/>
        <v>6067.8588000000009</v>
      </c>
      <c r="K40" s="8">
        <f t="shared" si="1"/>
        <v>0.63337293392640082</v>
      </c>
      <c r="L40" s="9">
        <f t="shared" si="4"/>
        <v>3843.2175308071305</v>
      </c>
      <c r="M40" s="9">
        <f>SUM($L$13:L40)</f>
        <v>12550.51426485077</v>
      </c>
      <c r="N40" s="12">
        <f t="shared" si="5"/>
        <v>1</v>
      </c>
      <c r="O40" s="37" t="str">
        <f t="shared" si="6"/>
        <v/>
      </c>
    </row>
    <row r="41" spans="4:15" x14ac:dyDescent="0.25">
      <c r="D41" s="37">
        <f t="shared" si="7"/>
        <v>7</v>
      </c>
      <c r="E41" s="9"/>
      <c r="F41" s="9"/>
      <c r="G41" s="9">
        <f t="shared" si="8"/>
        <v>8773.9392000000007</v>
      </c>
      <c r="H41" s="9">
        <f t="shared" si="9"/>
        <v>2706.0803999999998</v>
      </c>
      <c r="I41" s="9">
        <f t="shared" si="10"/>
        <v>1623.64824</v>
      </c>
      <c r="J41" s="9">
        <f t="shared" si="3"/>
        <v>4444.2105600000014</v>
      </c>
      <c r="K41" s="8">
        <f t="shared" si="1"/>
        <v>0.62274974188459109</v>
      </c>
      <c r="L41" s="9">
        <f t="shared" si="4"/>
        <v>2767.630979120775</v>
      </c>
      <c r="M41" s="9">
        <f>SUM($L$13:L41)</f>
        <v>15318.145243971545</v>
      </c>
      <c r="N41" s="12">
        <f t="shared" si="5"/>
        <v>1</v>
      </c>
      <c r="O41" s="37" t="str">
        <f t="shared" si="6"/>
        <v/>
      </c>
    </row>
    <row r="42" spans="4:15" x14ac:dyDescent="0.25">
      <c r="D42" s="37">
        <f t="shared" si="7"/>
        <v>7.25</v>
      </c>
      <c r="E42" s="9"/>
      <c r="F42" s="9"/>
      <c r="G42" s="9">
        <f t="shared" si="8"/>
        <v>9124.8967680000023</v>
      </c>
      <c r="H42" s="9">
        <f t="shared" si="9"/>
        <v>2760.2020080000002</v>
      </c>
      <c r="I42" s="9">
        <f t="shared" si="10"/>
        <v>0</v>
      </c>
      <c r="J42" s="9">
        <f t="shared" si="3"/>
        <v>6364.6947600000021</v>
      </c>
      <c r="K42" s="8">
        <f t="shared" si="1"/>
        <v>0.61230472640055966</v>
      </c>
      <c r="L42" s="9">
        <f t="shared" si="4"/>
        <v>3897.132683644877</v>
      </c>
      <c r="M42" s="9">
        <f>SUM($L$13:L42)</f>
        <v>19215.277927616422</v>
      </c>
      <c r="N42" s="12">
        <f t="shared" si="5"/>
        <v>1</v>
      </c>
      <c r="O42" s="37" t="str">
        <f t="shared" si="6"/>
        <v/>
      </c>
    </row>
    <row r="43" spans="4:15" x14ac:dyDescent="0.25">
      <c r="D43" s="37">
        <f t="shared" si="7"/>
        <v>7.5</v>
      </c>
      <c r="E43" s="9"/>
      <c r="F43" s="9"/>
      <c r="G43" s="9">
        <f t="shared" si="8"/>
        <v>9124.8967680000023</v>
      </c>
      <c r="H43" s="9">
        <f t="shared" si="9"/>
        <v>2760.2020080000002</v>
      </c>
      <c r="I43" s="9">
        <f t="shared" si="10"/>
        <v>0</v>
      </c>
      <c r="J43" s="9">
        <f t="shared" si="3"/>
        <v>6364.6947600000021</v>
      </c>
      <c r="K43" s="8">
        <f t="shared" si="1"/>
        <v>0.60203489902360263</v>
      </c>
      <c r="L43" s="9">
        <f t="shared" si="4"/>
        <v>3831.7683671526543</v>
      </c>
      <c r="M43" s="9">
        <f>SUM($L$13:L43)</f>
        <v>23047.046294769076</v>
      </c>
      <c r="N43" s="12">
        <f t="shared" si="5"/>
        <v>1</v>
      </c>
      <c r="O43" s="37" t="str">
        <f t="shared" si="6"/>
        <v/>
      </c>
    </row>
    <row r="44" spans="4:15" x14ac:dyDescent="0.25">
      <c r="D44" s="37">
        <f t="shared" si="7"/>
        <v>7.75</v>
      </c>
      <c r="E44" s="9"/>
      <c r="F44" s="9"/>
      <c r="G44" s="9">
        <f t="shared" si="8"/>
        <v>9124.8967680000023</v>
      </c>
      <c r="H44" s="9">
        <f t="shared" si="9"/>
        <v>2760.2020080000002</v>
      </c>
      <c r="I44" s="9">
        <f t="shared" si="10"/>
        <v>0</v>
      </c>
      <c r="J44" s="9">
        <f t="shared" si="3"/>
        <v>6364.6947600000021</v>
      </c>
      <c r="K44" s="8">
        <f t="shared" si="1"/>
        <v>0.59193732142654265</v>
      </c>
      <c r="L44" s="9">
        <f t="shared" si="4"/>
        <v>3767.500367931953</v>
      </c>
      <c r="M44" s="9">
        <f>SUM($L$13:L44)</f>
        <v>26814.546662701028</v>
      </c>
      <c r="N44" s="12">
        <f t="shared" si="5"/>
        <v>1</v>
      </c>
      <c r="O44" s="37" t="str">
        <f t="shared" si="6"/>
        <v/>
      </c>
    </row>
    <row r="45" spans="4:15" x14ac:dyDescent="0.25">
      <c r="D45" s="37">
        <f t="shared" si="7"/>
        <v>8</v>
      </c>
      <c r="E45" s="9"/>
      <c r="F45" s="9"/>
      <c r="G45" s="9">
        <f t="shared" si="8"/>
        <v>9124.8967680000023</v>
      </c>
      <c r="H45" s="9">
        <f t="shared" si="9"/>
        <v>2760.2020080000002</v>
      </c>
      <c r="I45" s="9">
        <f t="shared" si="10"/>
        <v>1656.1212048</v>
      </c>
      <c r="J45" s="9">
        <f t="shared" si="3"/>
        <v>4708.5735552000024</v>
      </c>
      <c r="K45" s="8">
        <f t="shared" si="1"/>
        <v>0.5820091045650384</v>
      </c>
      <c r="L45" s="9">
        <f t="shared" si="4"/>
        <v>2740.4326786405727</v>
      </c>
      <c r="M45" s="9">
        <f>SUM($L$13:L45)</f>
        <v>29554.979341341601</v>
      </c>
      <c r="N45" s="12">
        <f t="shared" si="5"/>
        <v>1</v>
      </c>
      <c r="O45" s="37" t="str">
        <f t="shared" si="6"/>
        <v/>
      </c>
    </row>
    <row r="46" spans="4:15" x14ac:dyDescent="0.25">
      <c r="D46" s="37">
        <f t="shared" si="7"/>
        <v>8.25</v>
      </c>
      <c r="E46" s="9"/>
      <c r="F46" s="9"/>
      <c r="G46" s="9">
        <f t="shared" si="8"/>
        <v>9489.8926387200027</v>
      </c>
      <c r="H46" s="9">
        <f t="shared" si="9"/>
        <v>2815.40604816</v>
      </c>
      <c r="I46" s="9">
        <f t="shared" si="10"/>
        <v>0</v>
      </c>
      <c r="J46" s="9">
        <f t="shared" si="3"/>
        <v>6674.4865905600027</v>
      </c>
      <c r="K46" s="8">
        <f t="shared" si="1"/>
        <v>0.57224740785099037</v>
      </c>
      <c r="L46" s="9">
        <f t="shared" si="4"/>
        <v>3819.4576501841561</v>
      </c>
      <c r="M46" s="9">
        <f>SUM($L$13:L46)</f>
        <v>33374.436991525756</v>
      </c>
      <c r="N46" s="12">
        <f t="shared" si="5"/>
        <v>1</v>
      </c>
      <c r="O46" s="37" t="str">
        <f t="shared" si="6"/>
        <v/>
      </c>
    </row>
    <row r="47" spans="4:15" x14ac:dyDescent="0.25">
      <c r="D47" s="37">
        <f t="shared" si="7"/>
        <v>8.5</v>
      </c>
      <c r="E47" s="9"/>
      <c r="F47" s="9"/>
      <c r="G47" s="9">
        <f t="shared" si="8"/>
        <v>9489.8926387200027</v>
      </c>
      <c r="H47" s="9">
        <f t="shared" si="9"/>
        <v>2815.40604816</v>
      </c>
      <c r="I47" s="9">
        <f t="shared" si="10"/>
        <v>0</v>
      </c>
      <c r="J47" s="9">
        <f t="shared" si="3"/>
        <v>6674.4865905600027</v>
      </c>
      <c r="K47" s="8">
        <f t="shared" si="1"/>
        <v>0.56264943833981551</v>
      </c>
      <c r="L47" s="9">
        <f t="shared" si="4"/>
        <v>3755.3961313852155</v>
      </c>
      <c r="M47" s="9">
        <f>SUM($L$13:L47)</f>
        <v>37129.833122910968</v>
      </c>
      <c r="N47" s="12">
        <f t="shared" si="5"/>
        <v>1</v>
      </c>
      <c r="O47" s="37" t="str">
        <f t="shared" si="6"/>
        <v/>
      </c>
    </row>
    <row r="48" spans="4:15" x14ac:dyDescent="0.25">
      <c r="D48" s="37">
        <f t="shared" si="7"/>
        <v>8.75</v>
      </c>
      <c r="E48" s="9"/>
      <c r="F48" s="9"/>
      <c r="G48" s="9">
        <f t="shared" si="8"/>
        <v>9489.8926387200027</v>
      </c>
      <c r="H48" s="9">
        <f t="shared" si="9"/>
        <v>2815.40604816</v>
      </c>
      <c r="I48" s="9">
        <f t="shared" si="10"/>
        <v>0</v>
      </c>
      <c r="J48" s="9">
        <f t="shared" si="3"/>
        <v>6674.4865905600027</v>
      </c>
      <c r="K48" s="8">
        <f t="shared" si="1"/>
        <v>0.55321244993134833</v>
      </c>
      <c r="L48" s="9">
        <f t="shared" si="4"/>
        <v>3692.4090787976311</v>
      </c>
      <c r="M48" s="9">
        <f>SUM($L$13:L48)</f>
        <v>40822.242201708599</v>
      </c>
      <c r="N48" s="12">
        <f t="shared" si="5"/>
        <v>1</v>
      </c>
      <c r="O48" s="37" t="str">
        <f t="shared" si="6"/>
        <v/>
      </c>
    </row>
    <row r="49" spans="4:15" x14ac:dyDescent="0.25">
      <c r="D49" s="37">
        <f t="shared" si="7"/>
        <v>9</v>
      </c>
      <c r="E49" s="9"/>
      <c r="F49" s="9"/>
      <c r="G49" s="9">
        <f t="shared" si="8"/>
        <v>9489.8926387200027</v>
      </c>
      <c r="H49" s="9">
        <f t="shared" si="9"/>
        <v>2815.40604816</v>
      </c>
      <c r="I49" s="9">
        <f t="shared" si="10"/>
        <v>1689.243628896</v>
      </c>
      <c r="J49" s="9">
        <f t="shared" si="3"/>
        <v>4985.2429616640029</v>
      </c>
      <c r="K49" s="8">
        <f t="shared" si="1"/>
        <v>0.54393374258414806</v>
      </c>
      <c r="L49" s="9">
        <f t="shared" si="4"/>
        <v>2711.6418618291837</v>
      </c>
      <c r="M49" s="9">
        <f>SUM($L$13:L49)</f>
        <v>43533.884063537786</v>
      </c>
      <c r="N49" s="12">
        <f t="shared" si="5"/>
        <v>1</v>
      </c>
      <c r="O49" s="37" t="str">
        <f t="shared" si="6"/>
        <v/>
      </c>
    </row>
    <row r="50" spans="4:15" x14ac:dyDescent="0.25">
      <c r="D50" s="37">
        <f t="shared" si="7"/>
        <v>9.25</v>
      </c>
      <c r="E50" s="9"/>
      <c r="F50" s="9"/>
      <c r="G50" s="9">
        <f t="shared" si="8"/>
        <v>9869.4883442688024</v>
      </c>
      <c r="H50" s="9">
        <f t="shared" si="9"/>
        <v>2871.7141691231996</v>
      </c>
      <c r="I50" s="9">
        <f t="shared" si="10"/>
        <v>0</v>
      </c>
      <c r="J50" s="9">
        <f t="shared" si="3"/>
        <v>6997.7741751456033</v>
      </c>
      <c r="K50" s="8">
        <f t="shared" si="1"/>
        <v>0.53481066154298162</v>
      </c>
      <c r="L50" s="9">
        <f t="shared" si="4"/>
        <v>3742.4842359380127</v>
      </c>
      <c r="M50" s="9">
        <f>SUM($L$13:L50)</f>
        <v>47276.368299475798</v>
      </c>
      <c r="N50" s="12">
        <f t="shared" si="5"/>
        <v>1</v>
      </c>
      <c r="O50" s="37" t="str">
        <f t="shared" si="6"/>
        <v/>
      </c>
    </row>
    <row r="51" spans="4:15" x14ac:dyDescent="0.25">
      <c r="D51" s="37">
        <f t="shared" si="7"/>
        <v>9.5</v>
      </c>
      <c r="E51" s="9"/>
      <c r="F51" s="9"/>
      <c r="G51" s="9">
        <f t="shared" si="8"/>
        <v>9869.4883442688024</v>
      </c>
      <c r="H51" s="9">
        <f t="shared" si="9"/>
        <v>2871.7141691231996</v>
      </c>
      <c r="I51" s="9">
        <f t="shared" si="10"/>
        <v>0</v>
      </c>
      <c r="J51" s="9">
        <f t="shared" si="3"/>
        <v>6997.7741751456033</v>
      </c>
      <c r="K51" s="8">
        <f t="shared" si="1"/>
        <v>0.52584059657926685</v>
      </c>
      <c r="L51" s="9">
        <f t="shared" si="4"/>
        <v>3679.7137469855511</v>
      </c>
      <c r="M51" s="9">
        <f>SUM($L$13:L51)</f>
        <v>50956.08204646135</v>
      </c>
      <c r="N51" s="12">
        <f t="shared" si="5"/>
        <v>1</v>
      </c>
      <c r="O51" s="37" t="str">
        <f t="shared" si="6"/>
        <v/>
      </c>
    </row>
    <row r="52" spans="4:15" x14ac:dyDescent="0.25">
      <c r="D52" s="37">
        <f t="shared" si="7"/>
        <v>9.75</v>
      </c>
      <c r="E52" s="9"/>
      <c r="F52" s="9"/>
      <c r="G52" s="9">
        <f t="shared" si="8"/>
        <v>9869.4883442688024</v>
      </c>
      <c r="H52" s="9">
        <f t="shared" si="9"/>
        <v>2871.7141691231996</v>
      </c>
      <c r="I52" s="9">
        <f t="shared" si="10"/>
        <v>0</v>
      </c>
      <c r="J52" s="9">
        <f t="shared" si="3"/>
        <v>6997.7741751456033</v>
      </c>
      <c r="K52" s="8">
        <f t="shared" si="1"/>
        <v>0.51702098124425078</v>
      </c>
      <c r="L52" s="9">
        <f t="shared" si="4"/>
        <v>3617.9960705594576</v>
      </c>
      <c r="M52" s="9">
        <f>SUM($L$13:L52)</f>
        <v>54574.078117020807</v>
      </c>
      <c r="N52" s="12">
        <f t="shared" si="5"/>
        <v>1</v>
      </c>
      <c r="O52" s="37" t="str">
        <f t="shared" si="6"/>
        <v/>
      </c>
    </row>
    <row r="53" spans="4:15" x14ac:dyDescent="0.25">
      <c r="D53" s="37">
        <f t="shared" si="7"/>
        <v>10</v>
      </c>
      <c r="E53" s="9"/>
      <c r="F53" s="9"/>
      <c r="G53" s="9">
        <f t="shared" si="8"/>
        <v>9869.4883442688024</v>
      </c>
      <c r="H53" s="9">
        <f t="shared" si="9"/>
        <v>2871.7141691231996</v>
      </c>
      <c r="I53" s="9">
        <f t="shared" si="10"/>
        <v>1723.0285014739197</v>
      </c>
      <c r="J53" s="9">
        <f t="shared" si="3"/>
        <v>5274.7456736716831</v>
      </c>
      <c r="K53" s="8">
        <f t="shared" si="1"/>
        <v>0.5083492921347178</v>
      </c>
      <c r="L53" s="9">
        <f t="shared" si="4"/>
        <v>2681.4132294016654</v>
      </c>
      <c r="M53" s="9">
        <f>SUM($L$13:L53)</f>
        <v>57255.491346422474</v>
      </c>
      <c r="N53" s="12">
        <f t="shared" si="5"/>
        <v>1</v>
      </c>
      <c r="O53" s="37" t="str">
        <f t="shared" si="6"/>
        <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3D222-0A44-4582-BE10-B37F30E62C5C}">
  <dimension ref="A1:R53"/>
  <sheetViews>
    <sheetView workbookViewId="0">
      <selection activeCell="J9" sqref="J9"/>
    </sheetView>
  </sheetViews>
  <sheetFormatPr defaultRowHeight="15" x14ac:dyDescent="0.25"/>
  <cols>
    <col min="1" max="1" width="39.7109375" customWidth="1"/>
    <col min="13" max="13" width="15.5703125" customWidth="1"/>
  </cols>
  <sheetData>
    <row r="1" spans="1:18" x14ac:dyDescent="0.25">
      <c r="A1" t="s">
        <v>63</v>
      </c>
    </row>
    <row r="3" spans="1:18" x14ac:dyDescent="0.25">
      <c r="A3" s="15" t="s">
        <v>40</v>
      </c>
      <c r="B3" s="31">
        <v>0</v>
      </c>
    </row>
    <row r="4" spans="1:18" x14ac:dyDescent="0.25">
      <c r="A4" s="15" t="s">
        <v>41</v>
      </c>
      <c r="B4" s="32">
        <v>3000</v>
      </c>
    </row>
    <row r="5" spans="1:18" x14ac:dyDescent="0.25">
      <c r="A5" s="15" t="s">
        <v>42</v>
      </c>
      <c r="B5" s="32">
        <v>20000</v>
      </c>
    </row>
    <row r="6" spans="1:18" x14ac:dyDescent="0.25">
      <c r="A6" s="15" t="s">
        <v>43</v>
      </c>
      <c r="B6" s="32">
        <v>30000</v>
      </c>
    </row>
    <row r="7" spans="1:18" x14ac:dyDescent="0.25">
      <c r="A7" s="15" t="s">
        <v>44</v>
      </c>
      <c r="B7" s="31">
        <v>0.04</v>
      </c>
    </row>
    <row r="8" spans="1:18" x14ac:dyDescent="0.25">
      <c r="A8" s="15" t="s">
        <v>45</v>
      </c>
      <c r="B8" s="32">
        <v>10000</v>
      </c>
    </row>
    <row r="9" spans="1:18" x14ac:dyDescent="0.25">
      <c r="A9" s="15" t="s">
        <v>46</v>
      </c>
      <c r="B9" s="32">
        <v>1500</v>
      </c>
      <c r="N9" s="33" t="s">
        <v>61</v>
      </c>
      <c r="O9" s="34">
        <f>MAX(O13:O53)</f>
        <v>5.25</v>
      </c>
      <c r="P9" s="35" t="s">
        <v>48</v>
      </c>
    </row>
    <row r="10" spans="1:18" x14ac:dyDescent="0.25">
      <c r="A10" s="15" t="s">
        <v>49</v>
      </c>
      <c r="B10" s="31">
        <v>0.02</v>
      </c>
    </row>
    <row r="11" spans="1:18" x14ac:dyDescent="0.25">
      <c r="A11" s="5"/>
      <c r="B11" s="5"/>
      <c r="C11" s="5"/>
      <c r="D11" s="5"/>
      <c r="E11" s="5"/>
      <c r="F11" s="5"/>
      <c r="G11" s="5"/>
      <c r="H11" s="5"/>
      <c r="I11" s="5"/>
      <c r="J11" s="5"/>
      <c r="K11" s="5"/>
      <c r="L11" s="5"/>
      <c r="M11" s="5"/>
      <c r="N11" s="5"/>
      <c r="O11" s="5"/>
      <c r="P11" s="5"/>
      <c r="Q11" s="5"/>
      <c r="R11" s="5"/>
    </row>
    <row r="12" spans="1:18" ht="75" x14ac:dyDescent="0.25">
      <c r="D12" s="36" t="s">
        <v>50</v>
      </c>
      <c r="E12" s="36" t="s">
        <v>51</v>
      </c>
      <c r="F12" s="36" t="s">
        <v>52</v>
      </c>
      <c r="G12" s="36" t="s">
        <v>53</v>
      </c>
      <c r="H12" s="36" t="s">
        <v>54</v>
      </c>
      <c r="I12" s="36" t="s">
        <v>55</v>
      </c>
      <c r="J12" s="36" t="s">
        <v>56</v>
      </c>
      <c r="K12" s="36" t="s">
        <v>7</v>
      </c>
      <c r="L12" s="36" t="s">
        <v>8</v>
      </c>
      <c r="M12" s="36" t="s">
        <v>57</v>
      </c>
      <c r="N12" s="36" t="s">
        <v>58</v>
      </c>
      <c r="O12" s="36" t="s">
        <v>62</v>
      </c>
    </row>
    <row r="13" spans="1:18" x14ac:dyDescent="0.25">
      <c r="D13" s="37">
        <v>0</v>
      </c>
      <c r="E13" s="9">
        <f t="shared" ref="E13:E20" si="0">TrainCost</f>
        <v>3000</v>
      </c>
      <c r="F13" s="9"/>
      <c r="G13" s="9"/>
      <c r="H13" s="9"/>
      <c r="I13" s="37"/>
      <c r="J13" s="9">
        <f>-E13-F13+G13-H13-I13</f>
        <v>-3000</v>
      </c>
      <c r="K13" s="8">
        <f t="shared" ref="K13:K53" si="1">(1+interest)^(-D13)</f>
        <v>1</v>
      </c>
      <c r="L13" s="9">
        <f>J13*K13</f>
        <v>-3000</v>
      </c>
      <c r="M13" s="9">
        <f>SUM($L$13:L13)</f>
        <v>-3000</v>
      </c>
      <c r="N13" s="12">
        <f>IF(M13&gt;0,1,0)</f>
        <v>0</v>
      </c>
      <c r="O13" s="37" t="str">
        <f>IF(AND(N13=1,N12=0),D13,"")</f>
        <v/>
      </c>
    </row>
    <row r="14" spans="1:18" x14ac:dyDescent="0.25">
      <c r="D14" s="37">
        <f>D13+0.25</f>
        <v>0.25</v>
      </c>
      <c r="E14" s="9">
        <f t="shared" si="0"/>
        <v>3000</v>
      </c>
      <c r="F14" s="9">
        <f t="shared" ref="F14:F21" si="2">LostProd/4</f>
        <v>5000</v>
      </c>
      <c r="G14" s="9"/>
      <c r="H14" s="9"/>
      <c r="I14" s="37"/>
      <c r="J14" s="9">
        <f t="shared" ref="J14:J53" si="3">-E14-F14+G14-H14-I14</f>
        <v>-8000</v>
      </c>
      <c r="K14" s="8">
        <f t="shared" si="1"/>
        <v>1</v>
      </c>
      <c r="L14" s="9">
        <f t="shared" ref="L14:L53" si="4">J14*K14</f>
        <v>-8000</v>
      </c>
      <c r="M14" s="9">
        <f>SUM($L$13:L14)</f>
        <v>-11000</v>
      </c>
      <c r="N14" s="12">
        <f t="shared" ref="N14:N53" si="5">IF(M14&gt;0,1,0)</f>
        <v>0</v>
      </c>
      <c r="O14" s="37" t="str">
        <f t="shared" ref="O14:O53" si="6">IF(AND(N14=1,N13=0),D14,"")</f>
        <v/>
      </c>
    </row>
    <row r="15" spans="1:18" x14ac:dyDescent="0.25">
      <c r="D15" s="37">
        <f t="shared" ref="D15:D53" si="7">D14+0.25</f>
        <v>0.5</v>
      </c>
      <c r="E15" s="9">
        <f t="shared" si="0"/>
        <v>3000</v>
      </c>
      <c r="F15" s="9">
        <f t="shared" si="2"/>
        <v>5000</v>
      </c>
      <c r="G15" s="9"/>
      <c r="H15" s="9"/>
      <c r="I15" s="37"/>
      <c r="J15" s="9">
        <f t="shared" si="3"/>
        <v>-8000</v>
      </c>
      <c r="K15" s="8">
        <f t="shared" si="1"/>
        <v>1</v>
      </c>
      <c r="L15" s="9">
        <f t="shared" si="4"/>
        <v>-8000</v>
      </c>
      <c r="M15" s="9">
        <f>SUM($L$13:L15)</f>
        <v>-19000</v>
      </c>
      <c r="N15" s="12">
        <f t="shared" si="5"/>
        <v>0</v>
      </c>
      <c r="O15" s="37" t="str">
        <f t="shared" si="6"/>
        <v/>
      </c>
    </row>
    <row r="16" spans="1:18" x14ac:dyDescent="0.25">
      <c r="D16" s="37">
        <f t="shared" si="7"/>
        <v>0.75</v>
      </c>
      <c r="E16" s="9">
        <f t="shared" si="0"/>
        <v>3000</v>
      </c>
      <c r="F16" s="9">
        <f t="shared" si="2"/>
        <v>5000</v>
      </c>
      <c r="G16" s="9"/>
      <c r="H16" s="9"/>
      <c r="I16" s="37"/>
      <c r="J16" s="9">
        <f t="shared" si="3"/>
        <v>-8000</v>
      </c>
      <c r="K16" s="8">
        <f t="shared" si="1"/>
        <v>1</v>
      </c>
      <c r="L16" s="9">
        <f t="shared" si="4"/>
        <v>-8000</v>
      </c>
      <c r="M16" s="9">
        <f>SUM($L$13:L16)</f>
        <v>-27000</v>
      </c>
      <c r="N16" s="12">
        <f t="shared" si="5"/>
        <v>0</v>
      </c>
      <c r="O16" s="37" t="str">
        <f t="shared" si="6"/>
        <v/>
      </c>
    </row>
    <row r="17" spans="4:15" x14ac:dyDescent="0.25">
      <c r="D17" s="37">
        <f t="shared" si="7"/>
        <v>1</v>
      </c>
      <c r="E17" s="9">
        <f t="shared" si="0"/>
        <v>3000</v>
      </c>
      <c r="F17" s="9">
        <f t="shared" si="2"/>
        <v>5000</v>
      </c>
      <c r="G17" s="9"/>
      <c r="H17" s="9"/>
      <c r="I17" s="37"/>
      <c r="J17" s="9">
        <f t="shared" si="3"/>
        <v>-8000</v>
      </c>
      <c r="K17" s="8">
        <f t="shared" si="1"/>
        <v>1</v>
      </c>
      <c r="L17" s="9">
        <f t="shared" si="4"/>
        <v>-8000</v>
      </c>
      <c r="M17" s="9">
        <f>SUM($L$13:L17)</f>
        <v>-35000</v>
      </c>
      <c r="N17" s="12">
        <f t="shared" si="5"/>
        <v>0</v>
      </c>
      <c r="O17" s="37" t="str">
        <f t="shared" si="6"/>
        <v/>
      </c>
    </row>
    <row r="18" spans="4:15" x14ac:dyDescent="0.25">
      <c r="D18" s="37">
        <f t="shared" si="7"/>
        <v>1.25</v>
      </c>
      <c r="E18" s="9">
        <f t="shared" si="0"/>
        <v>3000</v>
      </c>
      <c r="F18" s="9">
        <f t="shared" si="2"/>
        <v>5000</v>
      </c>
      <c r="G18" s="9"/>
      <c r="H18" s="9"/>
      <c r="I18" s="37"/>
      <c r="J18" s="9">
        <f t="shared" si="3"/>
        <v>-8000</v>
      </c>
      <c r="K18" s="8">
        <f t="shared" si="1"/>
        <v>1</v>
      </c>
      <c r="L18" s="9">
        <f t="shared" si="4"/>
        <v>-8000</v>
      </c>
      <c r="M18" s="9">
        <f>SUM($L$13:L18)</f>
        <v>-43000</v>
      </c>
      <c r="N18" s="12">
        <f t="shared" si="5"/>
        <v>0</v>
      </c>
      <c r="O18" s="37" t="str">
        <f t="shared" si="6"/>
        <v/>
      </c>
    </row>
    <row r="19" spans="4:15" x14ac:dyDescent="0.25">
      <c r="D19" s="37">
        <f t="shared" si="7"/>
        <v>1.5</v>
      </c>
      <c r="E19" s="9">
        <f t="shared" si="0"/>
        <v>3000</v>
      </c>
      <c r="F19" s="9">
        <f t="shared" si="2"/>
        <v>5000</v>
      </c>
      <c r="G19" s="9"/>
      <c r="H19" s="9"/>
      <c r="I19" s="37"/>
      <c r="J19" s="9">
        <f t="shared" si="3"/>
        <v>-8000</v>
      </c>
      <c r="K19" s="8">
        <f t="shared" si="1"/>
        <v>1</v>
      </c>
      <c r="L19" s="9">
        <f t="shared" si="4"/>
        <v>-8000</v>
      </c>
      <c r="M19" s="9">
        <f>SUM($L$13:L19)</f>
        <v>-51000</v>
      </c>
      <c r="N19" s="12">
        <f t="shared" si="5"/>
        <v>0</v>
      </c>
      <c r="O19" s="37" t="str">
        <f t="shared" si="6"/>
        <v/>
      </c>
    </row>
    <row r="20" spans="4:15" x14ac:dyDescent="0.25">
      <c r="D20" s="37">
        <f t="shared" si="7"/>
        <v>1.75</v>
      </c>
      <c r="E20" s="9">
        <f t="shared" si="0"/>
        <v>3000</v>
      </c>
      <c r="F20" s="9">
        <f t="shared" si="2"/>
        <v>5000</v>
      </c>
      <c r="G20" s="9"/>
      <c r="H20" s="9"/>
      <c r="I20" s="37"/>
      <c r="J20" s="9">
        <f t="shared" si="3"/>
        <v>-8000</v>
      </c>
      <c r="K20" s="8">
        <f t="shared" si="1"/>
        <v>1</v>
      </c>
      <c r="L20" s="9">
        <f t="shared" si="4"/>
        <v>-8000</v>
      </c>
      <c r="M20" s="9">
        <f>SUM($L$13:L20)</f>
        <v>-59000</v>
      </c>
      <c r="N20" s="12">
        <f t="shared" si="5"/>
        <v>0</v>
      </c>
      <c r="O20" s="37" t="str">
        <f t="shared" si="6"/>
        <v/>
      </c>
    </row>
    <row r="21" spans="4:15" x14ac:dyDescent="0.25">
      <c r="D21" s="37">
        <f t="shared" si="7"/>
        <v>2</v>
      </c>
      <c r="E21" s="9"/>
      <c r="F21" s="9">
        <f t="shared" si="2"/>
        <v>5000</v>
      </c>
      <c r="G21" s="9"/>
      <c r="H21" s="9"/>
      <c r="I21" s="37"/>
      <c r="J21" s="9">
        <f t="shared" si="3"/>
        <v>-5000</v>
      </c>
      <c r="K21" s="8">
        <f t="shared" si="1"/>
        <v>1</v>
      </c>
      <c r="L21" s="9">
        <f t="shared" si="4"/>
        <v>-5000</v>
      </c>
      <c r="M21" s="9">
        <f>SUM($L$13:L21)</f>
        <v>-64000</v>
      </c>
      <c r="N21" s="12">
        <f t="shared" si="5"/>
        <v>0</v>
      </c>
      <c r="O21" s="37" t="str">
        <f t="shared" si="6"/>
        <v/>
      </c>
    </row>
    <row r="22" spans="4:15" x14ac:dyDescent="0.25">
      <c r="D22" s="37">
        <f t="shared" si="7"/>
        <v>2.25</v>
      </c>
      <c r="E22" s="9"/>
      <c r="F22" s="9"/>
      <c r="G22" s="9">
        <f t="shared" ref="G22:G53" si="8">(AddRev/4)*(1+RevInc)^(INT(D22-0.25)-2)</f>
        <v>7500</v>
      </c>
      <c r="H22" s="9">
        <f t="shared" ref="H22:H53" si="9">(AddSal/4)*(1+SalInc)^(INT(D22-0.25)-2)</f>
        <v>2500</v>
      </c>
      <c r="I22" s="37"/>
      <c r="J22" s="9">
        <f t="shared" si="3"/>
        <v>5000</v>
      </c>
      <c r="K22" s="8">
        <f t="shared" si="1"/>
        <v>1</v>
      </c>
      <c r="L22" s="9">
        <f t="shared" si="4"/>
        <v>5000</v>
      </c>
      <c r="M22" s="9">
        <f>SUM($L$13:L22)</f>
        <v>-59000</v>
      </c>
      <c r="N22" s="12">
        <f t="shared" si="5"/>
        <v>0</v>
      </c>
      <c r="O22" s="37" t="str">
        <f t="shared" si="6"/>
        <v/>
      </c>
    </row>
    <row r="23" spans="4:15" x14ac:dyDescent="0.25">
      <c r="D23" s="37">
        <f t="shared" si="7"/>
        <v>2.5</v>
      </c>
      <c r="E23" s="9"/>
      <c r="F23" s="9"/>
      <c r="G23" s="9">
        <f t="shared" si="8"/>
        <v>7500</v>
      </c>
      <c r="H23" s="9">
        <f t="shared" si="9"/>
        <v>2500</v>
      </c>
      <c r="I23" s="37"/>
      <c r="J23" s="9">
        <f t="shared" si="3"/>
        <v>5000</v>
      </c>
      <c r="K23" s="8">
        <f t="shared" si="1"/>
        <v>1</v>
      </c>
      <c r="L23" s="9">
        <f t="shared" si="4"/>
        <v>5000</v>
      </c>
      <c r="M23" s="9">
        <f>SUM($L$13:L23)</f>
        <v>-54000</v>
      </c>
      <c r="N23" s="12">
        <f t="shared" si="5"/>
        <v>0</v>
      </c>
      <c r="O23" s="37" t="str">
        <f t="shared" si="6"/>
        <v/>
      </c>
    </row>
    <row r="24" spans="4:15" x14ac:dyDescent="0.25">
      <c r="D24" s="37">
        <f t="shared" si="7"/>
        <v>2.75</v>
      </c>
      <c r="E24" s="9"/>
      <c r="F24" s="9"/>
      <c r="G24" s="9">
        <f t="shared" si="8"/>
        <v>7500</v>
      </c>
      <c r="H24" s="9">
        <f t="shared" si="9"/>
        <v>2500</v>
      </c>
      <c r="I24" s="37"/>
      <c r="J24" s="9">
        <f t="shared" si="3"/>
        <v>5000</v>
      </c>
      <c r="K24" s="8">
        <f t="shared" si="1"/>
        <v>1</v>
      </c>
      <c r="L24" s="9">
        <f t="shared" si="4"/>
        <v>5000</v>
      </c>
      <c r="M24" s="9">
        <f>SUM($L$13:L24)</f>
        <v>-49000</v>
      </c>
      <c r="N24" s="12">
        <f t="shared" si="5"/>
        <v>0</v>
      </c>
      <c r="O24" s="37" t="str">
        <f t="shared" si="6"/>
        <v/>
      </c>
    </row>
    <row r="25" spans="4:15" x14ac:dyDescent="0.25">
      <c r="D25" s="37">
        <f t="shared" si="7"/>
        <v>3</v>
      </c>
      <c r="E25" s="9"/>
      <c r="F25" s="9"/>
      <c r="G25" s="9">
        <f t="shared" si="8"/>
        <v>7500</v>
      </c>
      <c r="H25" s="9">
        <f t="shared" si="9"/>
        <v>2500</v>
      </c>
      <c r="I25" s="9">
        <f t="shared" ref="I25:I53" si="10">IF(D25=INT(D25), AddBonus*(1+SalInc)^(D25-3),0)</f>
        <v>1500</v>
      </c>
      <c r="J25" s="9">
        <f t="shared" si="3"/>
        <v>3500</v>
      </c>
      <c r="K25" s="8">
        <f t="shared" si="1"/>
        <v>1</v>
      </c>
      <c r="L25" s="9">
        <f t="shared" si="4"/>
        <v>3500</v>
      </c>
      <c r="M25" s="9">
        <f>SUM($L$13:L25)</f>
        <v>-45500</v>
      </c>
      <c r="N25" s="12">
        <f t="shared" si="5"/>
        <v>0</v>
      </c>
      <c r="O25" s="37" t="str">
        <f t="shared" si="6"/>
        <v/>
      </c>
    </row>
    <row r="26" spans="4:15" x14ac:dyDescent="0.25">
      <c r="D26" s="37">
        <f t="shared" si="7"/>
        <v>3.25</v>
      </c>
      <c r="E26" s="9"/>
      <c r="F26" s="9"/>
      <c r="G26" s="9">
        <f t="shared" si="8"/>
        <v>7800</v>
      </c>
      <c r="H26" s="9">
        <f t="shared" si="9"/>
        <v>2550</v>
      </c>
      <c r="I26" s="9">
        <f t="shared" si="10"/>
        <v>0</v>
      </c>
      <c r="J26" s="9">
        <f t="shared" si="3"/>
        <v>5250</v>
      </c>
      <c r="K26" s="8">
        <f t="shared" si="1"/>
        <v>1</v>
      </c>
      <c r="L26" s="9">
        <f t="shared" si="4"/>
        <v>5250</v>
      </c>
      <c r="M26" s="9">
        <f>SUM($L$13:L26)</f>
        <v>-40250</v>
      </c>
      <c r="N26" s="12">
        <f t="shared" si="5"/>
        <v>0</v>
      </c>
      <c r="O26" s="37" t="str">
        <f t="shared" si="6"/>
        <v/>
      </c>
    </row>
    <row r="27" spans="4:15" x14ac:dyDescent="0.25">
      <c r="D27" s="37">
        <f t="shared" si="7"/>
        <v>3.5</v>
      </c>
      <c r="E27" s="9"/>
      <c r="F27" s="9"/>
      <c r="G27" s="9">
        <f t="shared" si="8"/>
        <v>7800</v>
      </c>
      <c r="H27" s="9">
        <f t="shared" si="9"/>
        <v>2550</v>
      </c>
      <c r="I27" s="9">
        <f t="shared" si="10"/>
        <v>0</v>
      </c>
      <c r="J27" s="9">
        <f t="shared" si="3"/>
        <v>5250</v>
      </c>
      <c r="K27" s="8">
        <f t="shared" si="1"/>
        <v>1</v>
      </c>
      <c r="L27" s="9">
        <f t="shared" si="4"/>
        <v>5250</v>
      </c>
      <c r="M27" s="9">
        <f>SUM($L$13:L27)</f>
        <v>-35000</v>
      </c>
      <c r="N27" s="12">
        <f t="shared" si="5"/>
        <v>0</v>
      </c>
      <c r="O27" s="37" t="str">
        <f t="shared" si="6"/>
        <v/>
      </c>
    </row>
    <row r="28" spans="4:15" x14ac:dyDescent="0.25">
      <c r="D28" s="37">
        <f t="shared" si="7"/>
        <v>3.75</v>
      </c>
      <c r="E28" s="9"/>
      <c r="F28" s="9"/>
      <c r="G28" s="9">
        <f t="shared" si="8"/>
        <v>7800</v>
      </c>
      <c r="H28" s="9">
        <f t="shared" si="9"/>
        <v>2550</v>
      </c>
      <c r="I28" s="9">
        <f t="shared" si="10"/>
        <v>0</v>
      </c>
      <c r="J28" s="9">
        <f t="shared" si="3"/>
        <v>5250</v>
      </c>
      <c r="K28" s="8">
        <f t="shared" si="1"/>
        <v>1</v>
      </c>
      <c r="L28" s="9">
        <f t="shared" si="4"/>
        <v>5250</v>
      </c>
      <c r="M28" s="9">
        <f>SUM($L$13:L28)</f>
        <v>-29750</v>
      </c>
      <c r="N28" s="12">
        <f t="shared" si="5"/>
        <v>0</v>
      </c>
      <c r="O28" s="37" t="str">
        <f t="shared" si="6"/>
        <v/>
      </c>
    </row>
    <row r="29" spans="4:15" x14ac:dyDescent="0.25">
      <c r="D29" s="37">
        <f t="shared" si="7"/>
        <v>4</v>
      </c>
      <c r="E29" s="9"/>
      <c r="F29" s="9"/>
      <c r="G29" s="9">
        <f t="shared" si="8"/>
        <v>7800</v>
      </c>
      <c r="H29" s="9">
        <f t="shared" si="9"/>
        <v>2550</v>
      </c>
      <c r="I29" s="9">
        <f t="shared" si="10"/>
        <v>1530</v>
      </c>
      <c r="J29" s="9">
        <f t="shared" si="3"/>
        <v>3720</v>
      </c>
      <c r="K29" s="8">
        <f t="shared" si="1"/>
        <v>1</v>
      </c>
      <c r="L29" s="9">
        <f t="shared" si="4"/>
        <v>3720</v>
      </c>
      <c r="M29" s="9">
        <f>SUM($L$13:L29)</f>
        <v>-26030</v>
      </c>
      <c r="N29" s="12">
        <f t="shared" si="5"/>
        <v>0</v>
      </c>
      <c r="O29" s="37" t="str">
        <f t="shared" si="6"/>
        <v/>
      </c>
    </row>
    <row r="30" spans="4:15" x14ac:dyDescent="0.25">
      <c r="D30" s="37">
        <f t="shared" si="7"/>
        <v>4.25</v>
      </c>
      <c r="E30" s="9"/>
      <c r="F30" s="9"/>
      <c r="G30" s="9">
        <f t="shared" si="8"/>
        <v>8112.0000000000009</v>
      </c>
      <c r="H30" s="9">
        <f t="shared" si="9"/>
        <v>2601</v>
      </c>
      <c r="I30" s="9">
        <f t="shared" si="10"/>
        <v>0</v>
      </c>
      <c r="J30" s="9">
        <f t="shared" si="3"/>
        <v>5511.0000000000009</v>
      </c>
      <c r="K30" s="8">
        <f t="shared" si="1"/>
        <v>1</v>
      </c>
      <c r="L30" s="9">
        <f t="shared" si="4"/>
        <v>5511.0000000000009</v>
      </c>
      <c r="M30" s="9">
        <f>SUM($L$13:L30)</f>
        <v>-20519</v>
      </c>
      <c r="N30" s="12">
        <f t="shared" si="5"/>
        <v>0</v>
      </c>
      <c r="O30" s="37" t="str">
        <f t="shared" si="6"/>
        <v/>
      </c>
    </row>
    <row r="31" spans="4:15" x14ac:dyDescent="0.25">
      <c r="D31" s="37">
        <f t="shared" si="7"/>
        <v>4.5</v>
      </c>
      <c r="E31" s="9"/>
      <c r="F31" s="9"/>
      <c r="G31" s="9">
        <f t="shared" si="8"/>
        <v>8112.0000000000009</v>
      </c>
      <c r="H31" s="9">
        <f t="shared" si="9"/>
        <v>2601</v>
      </c>
      <c r="I31" s="9">
        <f t="shared" si="10"/>
        <v>0</v>
      </c>
      <c r="J31" s="9">
        <f t="shared" si="3"/>
        <v>5511.0000000000009</v>
      </c>
      <c r="K31" s="8">
        <f t="shared" si="1"/>
        <v>1</v>
      </c>
      <c r="L31" s="9">
        <f t="shared" si="4"/>
        <v>5511.0000000000009</v>
      </c>
      <c r="M31" s="9">
        <f>SUM($L$13:L31)</f>
        <v>-15008</v>
      </c>
      <c r="N31" s="12">
        <f t="shared" si="5"/>
        <v>0</v>
      </c>
      <c r="O31" s="37" t="str">
        <f t="shared" si="6"/>
        <v/>
      </c>
    </row>
    <row r="32" spans="4:15" x14ac:dyDescent="0.25">
      <c r="D32" s="37">
        <f t="shared" si="7"/>
        <v>4.75</v>
      </c>
      <c r="E32" s="9"/>
      <c r="F32" s="9"/>
      <c r="G32" s="9">
        <f t="shared" si="8"/>
        <v>8112.0000000000009</v>
      </c>
      <c r="H32" s="9">
        <f t="shared" si="9"/>
        <v>2601</v>
      </c>
      <c r="I32" s="9">
        <f t="shared" si="10"/>
        <v>0</v>
      </c>
      <c r="J32" s="9">
        <f t="shared" si="3"/>
        <v>5511.0000000000009</v>
      </c>
      <c r="K32" s="8">
        <f t="shared" si="1"/>
        <v>1</v>
      </c>
      <c r="L32" s="9">
        <f t="shared" si="4"/>
        <v>5511.0000000000009</v>
      </c>
      <c r="M32" s="9">
        <f>SUM($L$13:L32)</f>
        <v>-9497</v>
      </c>
      <c r="N32" s="12">
        <f t="shared" si="5"/>
        <v>0</v>
      </c>
      <c r="O32" s="37" t="str">
        <f t="shared" si="6"/>
        <v/>
      </c>
    </row>
    <row r="33" spans="4:15" x14ac:dyDescent="0.25">
      <c r="D33" s="37">
        <f t="shared" si="7"/>
        <v>5</v>
      </c>
      <c r="E33" s="9"/>
      <c r="F33" s="9"/>
      <c r="G33" s="9">
        <f t="shared" si="8"/>
        <v>8112.0000000000009</v>
      </c>
      <c r="H33" s="9">
        <f t="shared" si="9"/>
        <v>2601</v>
      </c>
      <c r="I33" s="9">
        <f t="shared" si="10"/>
        <v>1560.6</v>
      </c>
      <c r="J33" s="9">
        <f t="shared" si="3"/>
        <v>3950.400000000001</v>
      </c>
      <c r="K33" s="8">
        <f t="shared" si="1"/>
        <v>1</v>
      </c>
      <c r="L33" s="9">
        <f t="shared" si="4"/>
        <v>3950.400000000001</v>
      </c>
      <c r="M33" s="9">
        <f>SUM($L$13:L33)</f>
        <v>-5546.5999999999985</v>
      </c>
      <c r="N33" s="12">
        <f t="shared" si="5"/>
        <v>0</v>
      </c>
      <c r="O33" s="37" t="str">
        <f t="shared" si="6"/>
        <v/>
      </c>
    </row>
    <row r="34" spans="4:15" x14ac:dyDescent="0.25">
      <c r="D34" s="37">
        <f t="shared" si="7"/>
        <v>5.25</v>
      </c>
      <c r="E34" s="9"/>
      <c r="F34" s="9"/>
      <c r="G34" s="9">
        <f t="shared" si="8"/>
        <v>8436.4800000000014</v>
      </c>
      <c r="H34" s="9">
        <f t="shared" si="9"/>
        <v>2653.02</v>
      </c>
      <c r="I34" s="9">
        <f t="shared" si="10"/>
        <v>0</v>
      </c>
      <c r="J34" s="9">
        <f t="shared" si="3"/>
        <v>5783.4600000000009</v>
      </c>
      <c r="K34" s="8">
        <f t="shared" si="1"/>
        <v>1</v>
      </c>
      <c r="L34" s="9">
        <f t="shared" si="4"/>
        <v>5783.4600000000009</v>
      </c>
      <c r="M34" s="9">
        <f>SUM($L$13:L34)</f>
        <v>236.8600000000024</v>
      </c>
      <c r="N34" s="12">
        <f t="shared" si="5"/>
        <v>1</v>
      </c>
      <c r="O34" s="37">
        <f t="shared" si="6"/>
        <v>5.25</v>
      </c>
    </row>
    <row r="35" spans="4:15" x14ac:dyDescent="0.25">
      <c r="D35" s="37">
        <f t="shared" si="7"/>
        <v>5.5</v>
      </c>
      <c r="E35" s="9"/>
      <c r="F35" s="9"/>
      <c r="G35" s="9">
        <f t="shared" si="8"/>
        <v>8436.4800000000014</v>
      </c>
      <c r="H35" s="9">
        <f t="shared" si="9"/>
        <v>2653.02</v>
      </c>
      <c r="I35" s="9">
        <f t="shared" si="10"/>
        <v>0</v>
      </c>
      <c r="J35" s="9">
        <f t="shared" si="3"/>
        <v>5783.4600000000009</v>
      </c>
      <c r="K35" s="8">
        <f t="shared" si="1"/>
        <v>1</v>
      </c>
      <c r="L35" s="9">
        <f t="shared" si="4"/>
        <v>5783.4600000000009</v>
      </c>
      <c r="M35" s="9">
        <f>SUM($L$13:L35)</f>
        <v>6020.3200000000033</v>
      </c>
      <c r="N35" s="12">
        <f t="shared" si="5"/>
        <v>1</v>
      </c>
      <c r="O35" s="37" t="str">
        <f t="shared" si="6"/>
        <v/>
      </c>
    </row>
    <row r="36" spans="4:15" x14ac:dyDescent="0.25">
      <c r="D36" s="37">
        <f t="shared" si="7"/>
        <v>5.75</v>
      </c>
      <c r="E36" s="9"/>
      <c r="F36" s="9"/>
      <c r="G36" s="9">
        <f t="shared" si="8"/>
        <v>8436.4800000000014</v>
      </c>
      <c r="H36" s="9">
        <f t="shared" si="9"/>
        <v>2653.02</v>
      </c>
      <c r="I36" s="9">
        <f t="shared" si="10"/>
        <v>0</v>
      </c>
      <c r="J36" s="9">
        <f t="shared" si="3"/>
        <v>5783.4600000000009</v>
      </c>
      <c r="K36" s="8">
        <f t="shared" si="1"/>
        <v>1</v>
      </c>
      <c r="L36" s="9">
        <f t="shared" si="4"/>
        <v>5783.4600000000009</v>
      </c>
      <c r="M36" s="9">
        <f>SUM($L$13:L36)</f>
        <v>11803.780000000004</v>
      </c>
      <c r="N36" s="12">
        <f t="shared" si="5"/>
        <v>1</v>
      </c>
      <c r="O36" s="37" t="str">
        <f t="shared" si="6"/>
        <v/>
      </c>
    </row>
    <row r="37" spans="4:15" x14ac:dyDescent="0.25">
      <c r="D37" s="37">
        <f t="shared" si="7"/>
        <v>6</v>
      </c>
      <c r="E37" s="9"/>
      <c r="F37" s="9"/>
      <c r="G37" s="9">
        <f t="shared" si="8"/>
        <v>8436.4800000000014</v>
      </c>
      <c r="H37" s="9">
        <f t="shared" si="9"/>
        <v>2653.02</v>
      </c>
      <c r="I37" s="9">
        <f t="shared" si="10"/>
        <v>1591.8119999999999</v>
      </c>
      <c r="J37" s="9">
        <f t="shared" si="3"/>
        <v>4191.648000000001</v>
      </c>
      <c r="K37" s="8">
        <f t="shared" si="1"/>
        <v>1</v>
      </c>
      <c r="L37" s="9">
        <f t="shared" si="4"/>
        <v>4191.648000000001</v>
      </c>
      <c r="M37" s="9">
        <f>SUM($L$13:L37)</f>
        <v>15995.428000000005</v>
      </c>
      <c r="N37" s="12">
        <f t="shared" si="5"/>
        <v>1</v>
      </c>
      <c r="O37" s="37" t="str">
        <f t="shared" si="6"/>
        <v/>
      </c>
    </row>
    <row r="38" spans="4:15" x14ac:dyDescent="0.25">
      <c r="D38" s="37">
        <f t="shared" si="7"/>
        <v>6.25</v>
      </c>
      <c r="E38" s="9"/>
      <c r="F38" s="9"/>
      <c r="G38" s="9">
        <f t="shared" si="8"/>
        <v>8773.9392000000007</v>
      </c>
      <c r="H38" s="9">
        <f t="shared" si="9"/>
        <v>2706.0803999999998</v>
      </c>
      <c r="I38" s="9">
        <f t="shared" si="10"/>
        <v>0</v>
      </c>
      <c r="J38" s="9">
        <f t="shared" si="3"/>
        <v>6067.8588000000009</v>
      </c>
      <c r="K38" s="8">
        <f t="shared" si="1"/>
        <v>1</v>
      </c>
      <c r="L38" s="9">
        <f t="shared" si="4"/>
        <v>6067.8588000000009</v>
      </c>
      <c r="M38" s="9">
        <f>SUM($L$13:L38)</f>
        <v>22063.286800000005</v>
      </c>
      <c r="N38" s="12">
        <f t="shared" si="5"/>
        <v>1</v>
      </c>
      <c r="O38" s="37" t="str">
        <f t="shared" si="6"/>
        <v/>
      </c>
    </row>
    <row r="39" spans="4:15" x14ac:dyDescent="0.25">
      <c r="D39" s="37">
        <f t="shared" si="7"/>
        <v>6.5</v>
      </c>
      <c r="E39" s="9"/>
      <c r="F39" s="9"/>
      <c r="G39" s="9">
        <f t="shared" si="8"/>
        <v>8773.9392000000007</v>
      </c>
      <c r="H39" s="9">
        <f t="shared" si="9"/>
        <v>2706.0803999999998</v>
      </c>
      <c r="I39" s="9">
        <f t="shared" si="10"/>
        <v>0</v>
      </c>
      <c r="J39" s="9">
        <f t="shared" si="3"/>
        <v>6067.8588000000009</v>
      </c>
      <c r="K39" s="8">
        <f t="shared" si="1"/>
        <v>1</v>
      </c>
      <c r="L39" s="9">
        <f t="shared" si="4"/>
        <v>6067.8588000000009</v>
      </c>
      <c r="M39" s="9">
        <f>SUM($L$13:L39)</f>
        <v>28131.145600000007</v>
      </c>
      <c r="N39" s="12">
        <f t="shared" si="5"/>
        <v>1</v>
      </c>
      <c r="O39" s="37" t="str">
        <f t="shared" si="6"/>
        <v/>
      </c>
    </row>
    <row r="40" spans="4:15" x14ac:dyDescent="0.25">
      <c r="D40" s="37">
        <f t="shared" si="7"/>
        <v>6.75</v>
      </c>
      <c r="E40" s="9"/>
      <c r="F40" s="9"/>
      <c r="G40" s="9">
        <f t="shared" si="8"/>
        <v>8773.9392000000007</v>
      </c>
      <c r="H40" s="9">
        <f t="shared" si="9"/>
        <v>2706.0803999999998</v>
      </c>
      <c r="I40" s="9">
        <f t="shared" si="10"/>
        <v>0</v>
      </c>
      <c r="J40" s="9">
        <f t="shared" si="3"/>
        <v>6067.8588000000009</v>
      </c>
      <c r="K40" s="8">
        <f t="shared" si="1"/>
        <v>1</v>
      </c>
      <c r="L40" s="9">
        <f t="shared" si="4"/>
        <v>6067.8588000000009</v>
      </c>
      <c r="M40" s="9">
        <f>SUM($L$13:L40)</f>
        <v>34199.004400000005</v>
      </c>
      <c r="N40" s="12">
        <f t="shared" si="5"/>
        <v>1</v>
      </c>
      <c r="O40" s="37" t="str">
        <f t="shared" si="6"/>
        <v/>
      </c>
    </row>
    <row r="41" spans="4:15" x14ac:dyDescent="0.25">
      <c r="D41" s="37">
        <f t="shared" si="7"/>
        <v>7</v>
      </c>
      <c r="E41" s="9"/>
      <c r="F41" s="9"/>
      <c r="G41" s="9">
        <f t="shared" si="8"/>
        <v>8773.9392000000007</v>
      </c>
      <c r="H41" s="9">
        <f t="shared" si="9"/>
        <v>2706.0803999999998</v>
      </c>
      <c r="I41" s="9">
        <f t="shared" si="10"/>
        <v>1623.64824</v>
      </c>
      <c r="J41" s="9">
        <f t="shared" si="3"/>
        <v>4444.2105600000014</v>
      </c>
      <c r="K41" s="8">
        <f t="shared" si="1"/>
        <v>1</v>
      </c>
      <c r="L41" s="9">
        <f t="shared" si="4"/>
        <v>4444.2105600000014</v>
      </c>
      <c r="M41" s="9">
        <f>SUM($L$13:L41)</f>
        <v>38643.214960000005</v>
      </c>
      <c r="N41" s="12">
        <f t="shared" si="5"/>
        <v>1</v>
      </c>
      <c r="O41" s="37" t="str">
        <f t="shared" si="6"/>
        <v/>
      </c>
    </row>
    <row r="42" spans="4:15" x14ac:dyDescent="0.25">
      <c r="D42" s="37">
        <f t="shared" si="7"/>
        <v>7.25</v>
      </c>
      <c r="E42" s="9"/>
      <c r="F42" s="9"/>
      <c r="G42" s="9">
        <f t="shared" si="8"/>
        <v>9124.8967680000023</v>
      </c>
      <c r="H42" s="9">
        <f t="shared" si="9"/>
        <v>2760.2020080000002</v>
      </c>
      <c r="I42" s="9">
        <f t="shared" si="10"/>
        <v>0</v>
      </c>
      <c r="J42" s="9">
        <f t="shared" si="3"/>
        <v>6364.6947600000021</v>
      </c>
      <c r="K42" s="8">
        <f t="shared" si="1"/>
        <v>1</v>
      </c>
      <c r="L42" s="9">
        <f t="shared" si="4"/>
        <v>6364.6947600000021</v>
      </c>
      <c r="M42" s="9">
        <f>SUM($L$13:L42)</f>
        <v>45007.909720000011</v>
      </c>
      <c r="N42" s="12">
        <f t="shared" si="5"/>
        <v>1</v>
      </c>
      <c r="O42" s="37" t="str">
        <f t="shared" si="6"/>
        <v/>
      </c>
    </row>
    <row r="43" spans="4:15" x14ac:dyDescent="0.25">
      <c r="D43" s="37">
        <f t="shared" si="7"/>
        <v>7.5</v>
      </c>
      <c r="E43" s="9"/>
      <c r="F43" s="9"/>
      <c r="G43" s="9">
        <f t="shared" si="8"/>
        <v>9124.8967680000023</v>
      </c>
      <c r="H43" s="9">
        <f t="shared" si="9"/>
        <v>2760.2020080000002</v>
      </c>
      <c r="I43" s="9">
        <f t="shared" si="10"/>
        <v>0</v>
      </c>
      <c r="J43" s="9">
        <f t="shared" si="3"/>
        <v>6364.6947600000021</v>
      </c>
      <c r="K43" s="8">
        <f t="shared" si="1"/>
        <v>1</v>
      </c>
      <c r="L43" s="9">
        <f t="shared" si="4"/>
        <v>6364.6947600000021</v>
      </c>
      <c r="M43" s="9">
        <f>SUM($L$13:L43)</f>
        <v>51372.604480000009</v>
      </c>
      <c r="N43" s="12">
        <f t="shared" si="5"/>
        <v>1</v>
      </c>
      <c r="O43" s="37" t="str">
        <f t="shared" si="6"/>
        <v/>
      </c>
    </row>
    <row r="44" spans="4:15" x14ac:dyDescent="0.25">
      <c r="D44" s="37">
        <f t="shared" si="7"/>
        <v>7.75</v>
      </c>
      <c r="E44" s="9"/>
      <c r="F44" s="9"/>
      <c r="G44" s="9">
        <f t="shared" si="8"/>
        <v>9124.8967680000023</v>
      </c>
      <c r="H44" s="9">
        <f t="shared" si="9"/>
        <v>2760.2020080000002</v>
      </c>
      <c r="I44" s="9">
        <f t="shared" si="10"/>
        <v>0</v>
      </c>
      <c r="J44" s="9">
        <f t="shared" si="3"/>
        <v>6364.6947600000021</v>
      </c>
      <c r="K44" s="8">
        <f t="shared" si="1"/>
        <v>1</v>
      </c>
      <c r="L44" s="9">
        <f t="shared" si="4"/>
        <v>6364.6947600000021</v>
      </c>
      <c r="M44" s="9">
        <f>SUM($L$13:L44)</f>
        <v>57737.299240000008</v>
      </c>
      <c r="N44" s="12">
        <f t="shared" si="5"/>
        <v>1</v>
      </c>
      <c r="O44" s="37" t="str">
        <f t="shared" si="6"/>
        <v/>
      </c>
    </row>
    <row r="45" spans="4:15" x14ac:dyDescent="0.25">
      <c r="D45" s="37">
        <f t="shared" si="7"/>
        <v>8</v>
      </c>
      <c r="E45" s="9"/>
      <c r="F45" s="9"/>
      <c r="G45" s="9">
        <f t="shared" si="8"/>
        <v>9124.8967680000023</v>
      </c>
      <c r="H45" s="9">
        <f t="shared" si="9"/>
        <v>2760.2020080000002</v>
      </c>
      <c r="I45" s="9">
        <f t="shared" si="10"/>
        <v>1656.1212048</v>
      </c>
      <c r="J45" s="9">
        <f t="shared" si="3"/>
        <v>4708.5735552000024</v>
      </c>
      <c r="K45" s="8">
        <f t="shared" si="1"/>
        <v>1</v>
      </c>
      <c r="L45" s="9">
        <f t="shared" si="4"/>
        <v>4708.5735552000024</v>
      </c>
      <c r="M45" s="9">
        <f>SUM($L$13:L45)</f>
        <v>62445.872795200012</v>
      </c>
      <c r="N45" s="12">
        <f t="shared" si="5"/>
        <v>1</v>
      </c>
      <c r="O45" s="37" t="str">
        <f t="shared" si="6"/>
        <v/>
      </c>
    </row>
    <row r="46" spans="4:15" x14ac:dyDescent="0.25">
      <c r="D46" s="37">
        <f t="shared" si="7"/>
        <v>8.25</v>
      </c>
      <c r="E46" s="9"/>
      <c r="F46" s="9"/>
      <c r="G46" s="9">
        <f t="shared" si="8"/>
        <v>9489.8926387200027</v>
      </c>
      <c r="H46" s="9">
        <f t="shared" si="9"/>
        <v>2815.40604816</v>
      </c>
      <c r="I46" s="9">
        <f t="shared" si="10"/>
        <v>0</v>
      </c>
      <c r="J46" s="9">
        <f t="shared" si="3"/>
        <v>6674.4865905600027</v>
      </c>
      <c r="K46" s="8">
        <f t="shared" si="1"/>
        <v>1</v>
      </c>
      <c r="L46" s="9">
        <f t="shared" si="4"/>
        <v>6674.4865905600027</v>
      </c>
      <c r="M46" s="9">
        <f>SUM($L$13:L46)</f>
        <v>69120.359385760021</v>
      </c>
      <c r="N46" s="12">
        <f t="shared" si="5"/>
        <v>1</v>
      </c>
      <c r="O46" s="37" t="str">
        <f t="shared" si="6"/>
        <v/>
      </c>
    </row>
    <row r="47" spans="4:15" x14ac:dyDescent="0.25">
      <c r="D47" s="37">
        <f t="shared" si="7"/>
        <v>8.5</v>
      </c>
      <c r="E47" s="9"/>
      <c r="F47" s="9"/>
      <c r="G47" s="9">
        <f t="shared" si="8"/>
        <v>9489.8926387200027</v>
      </c>
      <c r="H47" s="9">
        <f t="shared" si="9"/>
        <v>2815.40604816</v>
      </c>
      <c r="I47" s="9">
        <f t="shared" si="10"/>
        <v>0</v>
      </c>
      <c r="J47" s="9">
        <f t="shared" si="3"/>
        <v>6674.4865905600027</v>
      </c>
      <c r="K47" s="8">
        <f t="shared" si="1"/>
        <v>1</v>
      </c>
      <c r="L47" s="9">
        <f t="shared" si="4"/>
        <v>6674.4865905600027</v>
      </c>
      <c r="M47" s="9">
        <f>SUM($L$13:L47)</f>
        <v>75794.845976320023</v>
      </c>
      <c r="N47" s="12">
        <f t="shared" si="5"/>
        <v>1</v>
      </c>
      <c r="O47" s="37" t="str">
        <f t="shared" si="6"/>
        <v/>
      </c>
    </row>
    <row r="48" spans="4:15" x14ac:dyDescent="0.25">
      <c r="D48" s="37">
        <f t="shared" si="7"/>
        <v>8.75</v>
      </c>
      <c r="E48" s="9"/>
      <c r="F48" s="9"/>
      <c r="G48" s="9">
        <f t="shared" si="8"/>
        <v>9489.8926387200027</v>
      </c>
      <c r="H48" s="9">
        <f t="shared" si="9"/>
        <v>2815.40604816</v>
      </c>
      <c r="I48" s="9">
        <f t="shared" si="10"/>
        <v>0</v>
      </c>
      <c r="J48" s="9">
        <f t="shared" si="3"/>
        <v>6674.4865905600027</v>
      </c>
      <c r="K48" s="8">
        <f t="shared" si="1"/>
        <v>1</v>
      </c>
      <c r="L48" s="9">
        <f t="shared" si="4"/>
        <v>6674.4865905600027</v>
      </c>
      <c r="M48" s="9">
        <f>SUM($L$13:L48)</f>
        <v>82469.332566880024</v>
      </c>
      <c r="N48" s="12">
        <f t="shared" si="5"/>
        <v>1</v>
      </c>
      <c r="O48" s="37" t="str">
        <f t="shared" si="6"/>
        <v/>
      </c>
    </row>
    <row r="49" spans="4:15" x14ac:dyDescent="0.25">
      <c r="D49" s="37">
        <f t="shared" si="7"/>
        <v>9</v>
      </c>
      <c r="E49" s="9"/>
      <c r="F49" s="9"/>
      <c r="G49" s="9">
        <f t="shared" si="8"/>
        <v>9489.8926387200027</v>
      </c>
      <c r="H49" s="9">
        <f t="shared" si="9"/>
        <v>2815.40604816</v>
      </c>
      <c r="I49" s="9">
        <f t="shared" si="10"/>
        <v>1689.243628896</v>
      </c>
      <c r="J49" s="9">
        <f t="shared" si="3"/>
        <v>4985.2429616640029</v>
      </c>
      <c r="K49" s="8">
        <f t="shared" si="1"/>
        <v>1</v>
      </c>
      <c r="L49" s="9">
        <f t="shared" si="4"/>
        <v>4985.2429616640029</v>
      </c>
      <c r="M49" s="9">
        <f>SUM($L$13:L49)</f>
        <v>87454.575528544025</v>
      </c>
      <c r="N49" s="12">
        <f t="shared" si="5"/>
        <v>1</v>
      </c>
      <c r="O49" s="37" t="str">
        <f t="shared" si="6"/>
        <v/>
      </c>
    </row>
    <row r="50" spans="4:15" x14ac:dyDescent="0.25">
      <c r="D50" s="37">
        <f t="shared" si="7"/>
        <v>9.25</v>
      </c>
      <c r="E50" s="9"/>
      <c r="F50" s="9"/>
      <c r="G50" s="9">
        <f t="shared" si="8"/>
        <v>9869.4883442688024</v>
      </c>
      <c r="H50" s="9">
        <f t="shared" si="9"/>
        <v>2871.7141691231996</v>
      </c>
      <c r="I50" s="9">
        <f t="shared" si="10"/>
        <v>0</v>
      </c>
      <c r="J50" s="9">
        <f t="shared" si="3"/>
        <v>6997.7741751456033</v>
      </c>
      <c r="K50" s="8">
        <f t="shared" si="1"/>
        <v>1</v>
      </c>
      <c r="L50" s="9">
        <f t="shared" si="4"/>
        <v>6997.7741751456033</v>
      </c>
      <c r="M50" s="9">
        <f>SUM($L$13:L50)</f>
        <v>94452.34970368963</v>
      </c>
      <c r="N50" s="12">
        <f t="shared" si="5"/>
        <v>1</v>
      </c>
      <c r="O50" s="37" t="str">
        <f t="shared" si="6"/>
        <v/>
      </c>
    </row>
    <row r="51" spans="4:15" x14ac:dyDescent="0.25">
      <c r="D51" s="37">
        <f t="shared" si="7"/>
        <v>9.5</v>
      </c>
      <c r="E51" s="9"/>
      <c r="F51" s="9"/>
      <c r="G51" s="9">
        <f t="shared" si="8"/>
        <v>9869.4883442688024</v>
      </c>
      <c r="H51" s="9">
        <f t="shared" si="9"/>
        <v>2871.7141691231996</v>
      </c>
      <c r="I51" s="9">
        <f t="shared" si="10"/>
        <v>0</v>
      </c>
      <c r="J51" s="9">
        <f t="shared" si="3"/>
        <v>6997.7741751456033</v>
      </c>
      <c r="K51" s="8">
        <f t="shared" si="1"/>
        <v>1</v>
      </c>
      <c r="L51" s="9">
        <f t="shared" si="4"/>
        <v>6997.7741751456033</v>
      </c>
      <c r="M51" s="9">
        <f>SUM($L$13:L51)</f>
        <v>101450.12387883523</v>
      </c>
      <c r="N51" s="12">
        <f t="shared" si="5"/>
        <v>1</v>
      </c>
      <c r="O51" s="37" t="str">
        <f t="shared" si="6"/>
        <v/>
      </c>
    </row>
    <row r="52" spans="4:15" x14ac:dyDescent="0.25">
      <c r="D52" s="37">
        <f t="shared" si="7"/>
        <v>9.75</v>
      </c>
      <c r="E52" s="9"/>
      <c r="F52" s="9"/>
      <c r="G52" s="9">
        <f t="shared" si="8"/>
        <v>9869.4883442688024</v>
      </c>
      <c r="H52" s="9">
        <f t="shared" si="9"/>
        <v>2871.7141691231996</v>
      </c>
      <c r="I52" s="9">
        <f t="shared" si="10"/>
        <v>0</v>
      </c>
      <c r="J52" s="9">
        <f t="shared" si="3"/>
        <v>6997.7741751456033</v>
      </c>
      <c r="K52" s="8">
        <f t="shared" si="1"/>
        <v>1</v>
      </c>
      <c r="L52" s="9">
        <f t="shared" si="4"/>
        <v>6997.7741751456033</v>
      </c>
      <c r="M52" s="9">
        <f>SUM($L$13:L52)</f>
        <v>108447.89805398084</v>
      </c>
      <c r="N52" s="12">
        <f t="shared" si="5"/>
        <v>1</v>
      </c>
      <c r="O52" s="37" t="str">
        <f t="shared" si="6"/>
        <v/>
      </c>
    </row>
    <row r="53" spans="4:15" x14ac:dyDescent="0.25">
      <c r="D53" s="37">
        <f t="shared" si="7"/>
        <v>10</v>
      </c>
      <c r="E53" s="9"/>
      <c r="F53" s="9"/>
      <c r="G53" s="9">
        <f t="shared" si="8"/>
        <v>9869.4883442688024</v>
      </c>
      <c r="H53" s="9">
        <f t="shared" si="9"/>
        <v>2871.7141691231996</v>
      </c>
      <c r="I53" s="9">
        <f t="shared" si="10"/>
        <v>1723.0285014739197</v>
      </c>
      <c r="J53" s="9">
        <f t="shared" si="3"/>
        <v>5274.7456736716831</v>
      </c>
      <c r="K53" s="8">
        <f t="shared" si="1"/>
        <v>1</v>
      </c>
      <c r="L53" s="9">
        <f t="shared" si="4"/>
        <v>5274.7456736716831</v>
      </c>
      <c r="M53" s="9">
        <f>SUM($L$13:L53)</f>
        <v>113722.64372765252</v>
      </c>
      <c r="N53" s="12">
        <f t="shared" si="5"/>
        <v>1</v>
      </c>
      <c r="O53" s="37" t="str">
        <f t="shared" si="6"/>
        <v/>
      </c>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E1314-5DC6-42FA-B721-9440FA9DF254}">
  <dimension ref="A1:Y30"/>
  <sheetViews>
    <sheetView workbookViewId="0">
      <selection activeCell="E3" sqref="E3"/>
    </sheetView>
  </sheetViews>
  <sheetFormatPr defaultRowHeight="15" x14ac:dyDescent="0.25"/>
  <cols>
    <col min="3" max="3" width="12.85546875" customWidth="1"/>
    <col min="4" max="4" width="15.5703125" customWidth="1"/>
    <col min="7" max="7" width="11.42578125" customWidth="1"/>
    <col min="9" max="9" width="14" customWidth="1"/>
    <col min="10" max="10" width="12.7109375" customWidth="1"/>
    <col min="11" max="11" width="13.28515625" customWidth="1"/>
    <col min="12" max="12" width="11.140625" customWidth="1"/>
    <col min="16" max="16" width="10.28515625" bestFit="1" customWidth="1"/>
    <col min="18" max="18" width="14.85546875" customWidth="1"/>
    <col min="19" max="19" width="16.42578125" customWidth="1"/>
    <col min="22" max="22" width="10.5703125" customWidth="1"/>
    <col min="23" max="23" width="12.7109375" customWidth="1"/>
    <col min="24" max="24" width="17.5703125" customWidth="1"/>
  </cols>
  <sheetData>
    <row r="1" spans="1:24" x14ac:dyDescent="0.25">
      <c r="A1" t="s">
        <v>27</v>
      </c>
      <c r="F1" t="s">
        <v>38</v>
      </c>
      <c r="O1" t="s">
        <v>82</v>
      </c>
    </row>
    <row r="3" spans="1:24" ht="52.5" customHeight="1" thickBot="1" x14ac:dyDescent="0.3">
      <c r="A3" s="38" t="s">
        <v>64</v>
      </c>
      <c r="B3" s="38" t="s">
        <v>65</v>
      </c>
      <c r="C3" s="41" t="s">
        <v>66</v>
      </c>
      <c r="D3" s="41" t="s">
        <v>67</v>
      </c>
      <c r="G3" t="s">
        <v>68</v>
      </c>
      <c r="H3" t="s">
        <v>69</v>
      </c>
      <c r="I3" t="s">
        <v>70</v>
      </c>
      <c r="J3" t="s">
        <v>71</v>
      </c>
      <c r="K3" t="s">
        <v>72</v>
      </c>
      <c r="L3" t="s">
        <v>73</v>
      </c>
      <c r="O3" s="46"/>
      <c r="P3" s="47" t="s">
        <v>71</v>
      </c>
      <c r="Q3" s="47"/>
      <c r="R3" s="47" t="s">
        <v>75</v>
      </c>
      <c r="S3" s="47" t="s">
        <v>76</v>
      </c>
      <c r="T3" s="47"/>
      <c r="U3" s="47" t="s">
        <v>77</v>
      </c>
      <c r="V3" s="47" t="s">
        <v>78</v>
      </c>
      <c r="W3" s="47" t="s">
        <v>79</v>
      </c>
      <c r="X3" s="47" t="s">
        <v>80</v>
      </c>
    </row>
    <row r="4" spans="1:24" ht="15.75" thickBot="1" x14ac:dyDescent="0.3">
      <c r="F4">
        <v>0</v>
      </c>
      <c r="G4" s="42">
        <v>400000</v>
      </c>
      <c r="H4" s="45">
        <v>0</v>
      </c>
      <c r="I4" s="42">
        <v>0</v>
      </c>
      <c r="J4" s="42">
        <f>-G4-H4+I4</f>
        <v>-400000</v>
      </c>
      <c r="L4" s="43">
        <f>J4+L5/(1+K5)^0.5</f>
        <v>587753.53163219918</v>
      </c>
      <c r="M4" s="44" t="s">
        <v>74</v>
      </c>
      <c r="O4">
        <v>0</v>
      </c>
      <c r="P4" s="42">
        <f>J4</f>
        <v>-400000</v>
      </c>
      <c r="Q4" s="42"/>
      <c r="R4" s="42">
        <f>P4</f>
        <v>-400000</v>
      </c>
      <c r="S4" s="42" t="str">
        <f>IF(R4&gt;0,O4,"")</f>
        <v/>
      </c>
      <c r="V4" s="42">
        <f>P4</f>
        <v>-400000</v>
      </c>
      <c r="W4" s="42">
        <f>V4</f>
        <v>-400000</v>
      </c>
      <c r="X4" s="48" t="str">
        <f>IF(W4&gt;0,O4,"")</f>
        <v/>
      </c>
    </row>
    <row r="5" spans="1:24" x14ac:dyDescent="0.25">
      <c r="A5" s="38">
        <v>0.5</v>
      </c>
      <c r="B5" s="39">
        <v>5.3600000000000002E-2</v>
      </c>
      <c r="C5" s="40"/>
      <c r="D5" s="40">
        <f>B5</f>
        <v>5.3600000000000002E-2</v>
      </c>
      <c r="F5">
        <f>F4+0.5</f>
        <v>0.5</v>
      </c>
      <c r="H5" s="45">
        <f>IF(INT(F5)&lt;INT(F6),0,20000+5000*F5)</f>
        <v>0</v>
      </c>
      <c r="I5" s="42">
        <v>0</v>
      </c>
      <c r="J5" s="42">
        <f t="shared" ref="J5:J28" si="0">-G5-H5+I5</f>
        <v>0</v>
      </c>
      <c r="K5" s="1">
        <f>D5</f>
        <v>5.3600000000000002E-2</v>
      </c>
      <c r="L5" s="42">
        <f t="shared" ref="L5:L28" si="1">J5+L6/(1+K6)^0.5</f>
        <v>1013879.8038011128</v>
      </c>
      <c r="O5">
        <f>O4+0.5</f>
        <v>0.5</v>
      </c>
      <c r="P5" s="42">
        <f t="shared" ref="P5:P28" si="2">J5</f>
        <v>0</v>
      </c>
      <c r="Q5" s="42"/>
      <c r="R5" s="42">
        <f>R4+P5</f>
        <v>-400000</v>
      </c>
      <c r="S5" s="42" t="str">
        <f t="shared" ref="S5:S28" si="3">IF(R5&gt;0,O5,"")</f>
        <v/>
      </c>
      <c r="T5" s="1"/>
      <c r="U5" s="1">
        <f>D5</f>
        <v>5.3600000000000002E-2</v>
      </c>
      <c r="V5" s="49">
        <f>P5/(1+U5)^O5</f>
        <v>0</v>
      </c>
      <c r="W5" s="42">
        <f>W4+V5</f>
        <v>-400000</v>
      </c>
      <c r="X5" s="48" t="str">
        <f t="shared" ref="X5:X28" si="4">IF(W5&gt;0,O5,"")</f>
        <v/>
      </c>
    </row>
    <row r="6" spans="1:24" x14ac:dyDescent="0.25">
      <c r="A6" s="38">
        <v>1</v>
      </c>
      <c r="B6" s="39">
        <v>5.57E-2</v>
      </c>
      <c r="C6" s="40">
        <f>(1+B6)^A6/(1+B5)^A5-1</f>
        <v>2.8496079549748643E-2</v>
      </c>
      <c r="D6" s="40">
        <f>(1+C6)^2-1</f>
        <v>5.7804185649202866E-2</v>
      </c>
      <c r="F6">
        <f t="shared" ref="F6:F28" si="5">F5+0.5</f>
        <v>1</v>
      </c>
      <c r="H6" s="45">
        <v>20000</v>
      </c>
      <c r="I6" s="42">
        <v>0</v>
      </c>
      <c r="J6" s="42">
        <f t="shared" si="0"/>
        <v>-20000</v>
      </c>
      <c r="K6" s="1">
        <f t="shared" ref="K6:K28" si="6">D6</f>
        <v>5.7804185649202866E-2</v>
      </c>
      <c r="L6" s="42">
        <f t="shared" si="1"/>
        <v>1042771.4033441129</v>
      </c>
      <c r="O6">
        <f t="shared" ref="O6:O28" si="7">O5+0.5</f>
        <v>1</v>
      </c>
      <c r="P6" s="42">
        <f t="shared" si="2"/>
        <v>-20000</v>
      </c>
      <c r="Q6" s="42"/>
      <c r="R6" s="42">
        <f t="shared" ref="R6:R28" si="8">R5+P6</f>
        <v>-420000</v>
      </c>
      <c r="S6" s="42" t="str">
        <f t="shared" si="3"/>
        <v/>
      </c>
      <c r="T6" s="1"/>
      <c r="U6" s="1">
        <f t="shared" ref="U6:U28" si="9">D6</f>
        <v>5.7804185649202866E-2</v>
      </c>
      <c r="V6" s="49">
        <f t="shared" ref="V6:V28" si="10">P6/(1+U6)^O6</f>
        <v>-18907.091001654018</v>
      </c>
      <c r="W6" s="42">
        <f t="shared" ref="W6:W28" si="11">W5+V6</f>
        <v>-418907.09100165404</v>
      </c>
      <c r="X6" s="48" t="str">
        <f t="shared" si="4"/>
        <v/>
      </c>
    </row>
    <row r="7" spans="1:24" x14ac:dyDescent="0.25">
      <c r="A7" s="38">
        <v>1.5</v>
      </c>
      <c r="B7" s="39">
        <v>5.74E-2</v>
      </c>
      <c r="C7" s="40">
        <f t="shared" ref="C7:C28" si="12">(1+B7)^A7/(1+B6)^A6-1</f>
        <v>2.9955444166703371E-2</v>
      </c>
      <c r="D7" s="40">
        <f t="shared" ref="D7:D28" si="13">(1+C7)^2-1</f>
        <v>6.0808216968631257E-2</v>
      </c>
      <c r="F7">
        <f t="shared" si="5"/>
        <v>1.5</v>
      </c>
      <c r="H7" s="42">
        <f>IF(INT(F7)&lt;INT(F8),0,20000+5000*(F7-1))</f>
        <v>0</v>
      </c>
      <c r="I7" s="42">
        <v>0</v>
      </c>
      <c r="J7" s="42">
        <f t="shared" si="0"/>
        <v>0</v>
      </c>
      <c r="K7" s="1">
        <f t="shared" si="6"/>
        <v>6.0808216968631257E-2</v>
      </c>
      <c r="L7" s="42">
        <f t="shared" si="1"/>
        <v>1094607.1927789564</v>
      </c>
      <c r="O7">
        <f t="shared" si="7"/>
        <v>1.5</v>
      </c>
      <c r="P7" s="42">
        <f t="shared" si="2"/>
        <v>0</v>
      </c>
      <c r="Q7" s="42"/>
      <c r="R7" s="42">
        <f t="shared" si="8"/>
        <v>-420000</v>
      </c>
      <c r="S7" s="42" t="str">
        <f t="shared" si="3"/>
        <v/>
      </c>
      <c r="T7" s="1"/>
      <c r="U7" s="1">
        <f t="shared" si="9"/>
        <v>6.0808216968631257E-2</v>
      </c>
      <c r="V7" s="49">
        <f t="shared" si="10"/>
        <v>0</v>
      </c>
      <c r="W7" s="42">
        <f t="shared" si="11"/>
        <v>-418907.09100165404</v>
      </c>
      <c r="X7" s="48" t="str">
        <f t="shared" si="4"/>
        <v/>
      </c>
    </row>
    <row r="8" spans="1:24" x14ac:dyDescent="0.25">
      <c r="A8" s="38">
        <v>2</v>
      </c>
      <c r="B8" s="39">
        <v>5.8700000000000002E-2</v>
      </c>
      <c r="C8" s="40">
        <f t="shared" si="12"/>
        <v>3.0829567591806661E-2</v>
      </c>
      <c r="D8" s="40">
        <f t="shared" si="13"/>
        <v>6.2609597421511065E-2</v>
      </c>
      <c r="F8">
        <f t="shared" si="5"/>
        <v>2</v>
      </c>
      <c r="H8" s="42">
        <f t="shared" ref="H8:H28" si="14">IF(INT(F8)&lt;INT(F9),0,20000+5000*(F8-1))</f>
        <v>25000</v>
      </c>
      <c r="I8" s="42">
        <v>0</v>
      </c>
      <c r="J8" s="42">
        <f t="shared" si="0"/>
        <v>-25000</v>
      </c>
      <c r="K8" s="1">
        <f t="shared" si="6"/>
        <v>6.2609597421511065E-2</v>
      </c>
      <c r="L8" s="42">
        <f t="shared" si="1"/>
        <v>1128353.4592152128</v>
      </c>
      <c r="O8">
        <f t="shared" si="7"/>
        <v>2</v>
      </c>
      <c r="P8" s="42">
        <f t="shared" si="2"/>
        <v>-25000</v>
      </c>
      <c r="Q8" s="42"/>
      <c r="R8" s="42">
        <f t="shared" si="8"/>
        <v>-445000</v>
      </c>
      <c r="S8" s="42" t="str">
        <f t="shared" si="3"/>
        <v/>
      </c>
      <c r="T8" s="1"/>
      <c r="U8" s="1">
        <f t="shared" si="9"/>
        <v>6.2609597421511065E-2</v>
      </c>
      <c r="V8" s="49">
        <f t="shared" si="10"/>
        <v>-22140.760822410397</v>
      </c>
      <c r="W8" s="42">
        <f t="shared" si="11"/>
        <v>-441047.85182406445</v>
      </c>
      <c r="X8" s="48" t="str">
        <f t="shared" si="4"/>
        <v/>
      </c>
    </row>
    <row r="9" spans="1:24" x14ac:dyDescent="0.25">
      <c r="A9" s="38">
        <v>2.5</v>
      </c>
      <c r="B9" s="39">
        <v>5.9799999999999999E-2</v>
      </c>
      <c r="C9" s="40">
        <f t="shared" si="12"/>
        <v>3.1606243191803829E-2</v>
      </c>
      <c r="D9" s="40">
        <f t="shared" si="13"/>
        <v>6.4211440992307134E-2</v>
      </c>
      <c r="F9">
        <f t="shared" si="5"/>
        <v>2.5</v>
      </c>
      <c r="H9" s="42">
        <f t="shared" si="14"/>
        <v>0</v>
      </c>
      <c r="I9" s="42">
        <v>50000</v>
      </c>
      <c r="J9" s="42">
        <f t="shared" si="0"/>
        <v>50000</v>
      </c>
      <c r="K9" s="1">
        <f t="shared" si="6"/>
        <v>6.4211440992307134E-2</v>
      </c>
      <c r="L9" s="42">
        <f t="shared" si="1"/>
        <v>1189806.6291332771</v>
      </c>
      <c r="O9">
        <f t="shared" si="7"/>
        <v>2.5</v>
      </c>
      <c r="P9" s="42">
        <f t="shared" si="2"/>
        <v>50000</v>
      </c>
      <c r="Q9" s="42"/>
      <c r="R9" s="42">
        <f t="shared" si="8"/>
        <v>-395000</v>
      </c>
      <c r="S9" s="42" t="str">
        <f t="shared" si="3"/>
        <v/>
      </c>
      <c r="T9" s="1"/>
      <c r="U9" s="1">
        <f t="shared" si="9"/>
        <v>6.4211440992307134E-2</v>
      </c>
      <c r="V9" s="49">
        <f t="shared" si="10"/>
        <v>42795.706008204346</v>
      </c>
      <c r="W9" s="42">
        <f t="shared" si="11"/>
        <v>-398252.14581586013</v>
      </c>
      <c r="X9" s="48" t="str">
        <f t="shared" si="4"/>
        <v/>
      </c>
    </row>
    <row r="10" spans="1:24" x14ac:dyDescent="0.25">
      <c r="A10" s="38">
        <v>3</v>
      </c>
      <c r="B10" s="39">
        <v>6.0900000000000003E-2</v>
      </c>
      <c r="C10" s="40">
        <f>(1+B10)^A10/(1+B9)^A9-1</f>
        <v>3.2674754989154842E-2</v>
      </c>
      <c r="D10" s="40">
        <f t="shared" si="13"/>
        <v>6.6417149591911029E-2</v>
      </c>
      <c r="F10">
        <f t="shared" si="5"/>
        <v>3</v>
      </c>
      <c r="H10" s="42">
        <f t="shared" si="14"/>
        <v>30000</v>
      </c>
      <c r="I10" s="42">
        <f>IF(F10&lt;=8,I9*1.2^0.5,I9*1.06^0.5)</f>
        <v>54772.255750516604</v>
      </c>
      <c r="J10" s="42">
        <f t="shared" si="0"/>
        <v>24772.255750516604</v>
      </c>
      <c r="K10" s="1">
        <f t="shared" si="6"/>
        <v>6.6417149591911029E-2</v>
      </c>
      <c r="L10" s="42">
        <f t="shared" si="1"/>
        <v>1177049.5314752215</v>
      </c>
      <c r="O10">
        <f t="shared" si="7"/>
        <v>3</v>
      </c>
      <c r="P10" s="42">
        <f t="shared" si="2"/>
        <v>24772.255750516604</v>
      </c>
      <c r="Q10" s="42"/>
      <c r="R10" s="42">
        <f t="shared" si="8"/>
        <v>-370227.7442494834</v>
      </c>
      <c r="S10" s="42" t="str">
        <f t="shared" si="3"/>
        <v/>
      </c>
      <c r="T10" s="1"/>
      <c r="U10" s="1">
        <f t="shared" si="9"/>
        <v>6.6417149591911029E-2</v>
      </c>
      <c r="V10" s="49">
        <f t="shared" si="10"/>
        <v>20426.040719190823</v>
      </c>
      <c r="W10" s="42">
        <f t="shared" si="11"/>
        <v>-377826.10509666929</v>
      </c>
      <c r="X10" s="48" t="str">
        <f t="shared" si="4"/>
        <v/>
      </c>
    </row>
    <row r="11" spans="1:24" x14ac:dyDescent="0.25">
      <c r="A11" s="38">
        <v>3.5</v>
      </c>
      <c r="B11" s="39">
        <v>6.2100000000000002E-2</v>
      </c>
      <c r="C11" s="40">
        <f t="shared" si="12"/>
        <v>3.4083438556488987E-2</v>
      </c>
      <c r="D11" s="40">
        <f t="shared" si="13"/>
        <v>6.9328557896811915E-2</v>
      </c>
      <c r="F11">
        <f t="shared" si="5"/>
        <v>3.5</v>
      </c>
      <c r="H11" s="42">
        <f t="shared" si="14"/>
        <v>0</v>
      </c>
      <c r="I11" s="42">
        <f t="shared" ref="I11:I28" si="15">IF(F11&lt;=8,I10*1.2^0.5,I10*1.06^0.5)</f>
        <v>59999.999999999985</v>
      </c>
      <c r="J11" s="42">
        <f t="shared" si="0"/>
        <v>59999.999999999985</v>
      </c>
      <c r="K11" s="1">
        <f t="shared" si="6"/>
        <v>6.9328557896811915E-2</v>
      </c>
      <c r="L11" s="42">
        <f t="shared" si="1"/>
        <v>1191550.8474519064</v>
      </c>
      <c r="O11">
        <f t="shared" si="7"/>
        <v>3.5</v>
      </c>
      <c r="P11" s="42">
        <f t="shared" si="2"/>
        <v>59999.999999999985</v>
      </c>
      <c r="Q11" s="42"/>
      <c r="R11" s="42">
        <f t="shared" si="8"/>
        <v>-310227.7442494834</v>
      </c>
      <c r="S11" s="42" t="str">
        <f t="shared" si="3"/>
        <v/>
      </c>
      <c r="T11" s="1"/>
      <c r="U11" s="1">
        <f t="shared" si="9"/>
        <v>6.9328557896811915E-2</v>
      </c>
      <c r="V11" s="49">
        <f t="shared" si="10"/>
        <v>47452.835831960059</v>
      </c>
      <c r="W11" s="42">
        <f t="shared" si="11"/>
        <v>-330373.2692647092</v>
      </c>
      <c r="X11" s="48" t="str">
        <f t="shared" si="4"/>
        <v/>
      </c>
    </row>
    <row r="12" spans="1:24" x14ac:dyDescent="0.25">
      <c r="A12" s="38">
        <v>4</v>
      </c>
      <c r="B12" s="39">
        <v>6.3600000000000004E-2</v>
      </c>
      <c r="C12" s="40">
        <f t="shared" si="12"/>
        <v>3.6416655737195436E-2</v>
      </c>
      <c r="D12" s="40">
        <f t="shared" si="13"/>
        <v>7.4159484289472388E-2</v>
      </c>
      <c r="F12">
        <f t="shared" si="5"/>
        <v>4</v>
      </c>
      <c r="H12" s="42">
        <f t="shared" si="14"/>
        <v>35000</v>
      </c>
      <c r="I12" s="42">
        <f t="shared" si="15"/>
        <v>65726.706900619916</v>
      </c>
      <c r="J12" s="42">
        <f t="shared" si="0"/>
        <v>30726.706900619916</v>
      </c>
      <c r="K12" s="1">
        <f t="shared" si="6"/>
        <v>7.4159484289472388E-2</v>
      </c>
      <c r="L12" s="42">
        <f t="shared" si="1"/>
        <v>1172758.1451126942</v>
      </c>
      <c r="O12">
        <f t="shared" si="7"/>
        <v>4</v>
      </c>
      <c r="P12" s="42">
        <f t="shared" si="2"/>
        <v>30726.706900619916</v>
      </c>
      <c r="Q12" s="42"/>
      <c r="R12" s="42">
        <f t="shared" si="8"/>
        <v>-279501.03734886349</v>
      </c>
      <c r="S12" s="42" t="str">
        <f t="shared" si="3"/>
        <v/>
      </c>
      <c r="T12" s="1"/>
      <c r="U12" s="1">
        <f t="shared" si="9"/>
        <v>7.4159484289472388E-2</v>
      </c>
      <c r="V12" s="49">
        <f t="shared" si="10"/>
        <v>23080.273354054036</v>
      </c>
      <c r="W12" s="42">
        <f t="shared" si="11"/>
        <v>-307292.99591065518</v>
      </c>
      <c r="X12" s="48" t="str">
        <f t="shared" si="4"/>
        <v/>
      </c>
    </row>
    <row r="13" spans="1:24" x14ac:dyDescent="0.25">
      <c r="A13" s="38">
        <v>4.5</v>
      </c>
      <c r="B13" s="39">
        <v>6.5199999999999994E-2</v>
      </c>
      <c r="C13" s="40">
        <f t="shared" si="12"/>
        <v>3.8309661878319634E-2</v>
      </c>
      <c r="D13" s="40">
        <f t="shared" si="13"/>
        <v>7.808695394987053E-2</v>
      </c>
      <c r="F13">
        <f t="shared" si="5"/>
        <v>4.5</v>
      </c>
      <c r="H13" s="42">
        <f t="shared" si="14"/>
        <v>0</v>
      </c>
      <c r="I13" s="42">
        <f t="shared" si="15"/>
        <v>71999.999999999971</v>
      </c>
      <c r="J13" s="42">
        <f t="shared" si="0"/>
        <v>71999.999999999971</v>
      </c>
      <c r="K13" s="1">
        <f t="shared" si="6"/>
        <v>7.808695394987053E-2</v>
      </c>
      <c r="L13" s="42">
        <f t="shared" si="1"/>
        <v>1185782.2764643899</v>
      </c>
      <c r="O13">
        <f t="shared" si="7"/>
        <v>4.5</v>
      </c>
      <c r="P13" s="42">
        <f t="shared" si="2"/>
        <v>71999.999999999971</v>
      </c>
      <c r="Q13" s="42"/>
      <c r="R13" s="42">
        <f t="shared" si="8"/>
        <v>-207501.03734886352</v>
      </c>
      <c r="S13" s="42" t="str">
        <f t="shared" si="3"/>
        <v/>
      </c>
      <c r="T13" s="1"/>
      <c r="U13" s="1">
        <f t="shared" si="9"/>
        <v>7.808695394987053E-2</v>
      </c>
      <c r="V13" s="49">
        <f t="shared" si="10"/>
        <v>51332.266299383562</v>
      </c>
      <c r="W13" s="42">
        <f t="shared" si="11"/>
        <v>-255960.72961127161</v>
      </c>
      <c r="X13" s="48" t="str">
        <f t="shared" si="4"/>
        <v/>
      </c>
    </row>
    <row r="14" spans="1:24" x14ac:dyDescent="0.25">
      <c r="A14" s="38">
        <v>5</v>
      </c>
      <c r="B14" s="39">
        <v>6.6699999999999995E-2</v>
      </c>
      <c r="C14" s="40">
        <f t="shared" si="12"/>
        <v>3.9372604214351403E-2</v>
      </c>
      <c r="D14" s="40">
        <f t="shared" si="13"/>
        <v>8.0295410391322708E-2</v>
      </c>
      <c r="F14">
        <f t="shared" si="5"/>
        <v>5</v>
      </c>
      <c r="H14" s="42">
        <f t="shared" si="14"/>
        <v>40000</v>
      </c>
      <c r="I14" s="42">
        <f t="shared" si="15"/>
        <v>78872.048280743882</v>
      </c>
      <c r="J14" s="42">
        <f t="shared" si="0"/>
        <v>38872.048280743882</v>
      </c>
      <c r="K14" s="1">
        <f t="shared" si="6"/>
        <v>8.0295410391322708E-2</v>
      </c>
      <c r="L14" s="42">
        <f t="shared" si="1"/>
        <v>1157634.7852165815</v>
      </c>
      <c r="O14">
        <f t="shared" si="7"/>
        <v>5</v>
      </c>
      <c r="P14" s="42">
        <f t="shared" si="2"/>
        <v>38872.048280743882</v>
      </c>
      <c r="Q14" s="42"/>
      <c r="R14" s="42">
        <f t="shared" si="8"/>
        <v>-168628.98906811964</v>
      </c>
      <c r="S14" s="42" t="str">
        <f t="shared" si="3"/>
        <v/>
      </c>
      <c r="T14" s="1"/>
      <c r="U14" s="1">
        <f t="shared" si="9"/>
        <v>8.0295410391322708E-2</v>
      </c>
      <c r="V14" s="49">
        <f t="shared" si="10"/>
        <v>26419.510724140899</v>
      </c>
      <c r="W14" s="42">
        <f t="shared" si="11"/>
        <v>-229541.21888713073</v>
      </c>
      <c r="X14" s="48" t="str">
        <f t="shared" si="4"/>
        <v/>
      </c>
    </row>
    <row r="15" spans="1:24" x14ac:dyDescent="0.25">
      <c r="A15" s="38">
        <v>5.5</v>
      </c>
      <c r="B15" s="39">
        <v>6.7400000000000002E-2</v>
      </c>
      <c r="C15" s="40">
        <f t="shared" si="12"/>
        <v>3.6544892727470524E-2</v>
      </c>
      <c r="D15" s="40">
        <f t="shared" si="13"/>
        <v>7.4425314639403384E-2</v>
      </c>
      <c r="F15">
        <f t="shared" si="5"/>
        <v>5.5</v>
      </c>
      <c r="H15" s="42">
        <f t="shared" si="14"/>
        <v>0</v>
      </c>
      <c r="I15" s="42">
        <f t="shared" si="15"/>
        <v>86399.999999999956</v>
      </c>
      <c r="J15" s="42">
        <f t="shared" si="0"/>
        <v>86399.999999999956</v>
      </c>
      <c r="K15" s="1">
        <f t="shared" si="6"/>
        <v>7.4425314639403384E-2</v>
      </c>
      <c r="L15" s="42">
        <f t="shared" si="1"/>
        <v>1159647.8011446493</v>
      </c>
      <c r="O15">
        <f t="shared" si="7"/>
        <v>5.5</v>
      </c>
      <c r="P15" s="42">
        <f t="shared" si="2"/>
        <v>86399.999999999956</v>
      </c>
      <c r="Q15" s="42"/>
      <c r="R15" s="42">
        <f t="shared" si="8"/>
        <v>-82228.989068119685</v>
      </c>
      <c r="S15" s="42" t="str">
        <f t="shared" si="3"/>
        <v/>
      </c>
      <c r="T15" s="1"/>
      <c r="U15" s="1">
        <f t="shared" si="9"/>
        <v>7.4425314639403384E-2</v>
      </c>
      <c r="V15" s="49">
        <f t="shared" si="10"/>
        <v>58216.281938176347</v>
      </c>
      <c r="W15" s="42">
        <f t="shared" si="11"/>
        <v>-171324.93694895439</v>
      </c>
      <c r="X15" s="48" t="str">
        <f t="shared" si="4"/>
        <v/>
      </c>
    </row>
    <row r="16" spans="1:24" x14ac:dyDescent="0.25">
      <c r="A16" s="38">
        <v>6</v>
      </c>
      <c r="B16" s="39">
        <v>6.7000000000000004E-2</v>
      </c>
      <c r="C16" s="40">
        <f t="shared" si="12"/>
        <v>3.0829705068125213E-2</v>
      </c>
      <c r="D16" s="40">
        <f t="shared" si="13"/>
        <v>6.2609880850837962E-2</v>
      </c>
      <c r="F16">
        <f t="shared" si="5"/>
        <v>6</v>
      </c>
      <c r="H16" s="42">
        <f t="shared" si="14"/>
        <v>45000</v>
      </c>
      <c r="I16" s="42">
        <f t="shared" si="15"/>
        <v>94646.45793689265</v>
      </c>
      <c r="J16" s="42">
        <f t="shared" si="0"/>
        <v>49646.45793689265</v>
      </c>
      <c r="K16" s="1">
        <f t="shared" si="6"/>
        <v>6.2609880850837962E-2</v>
      </c>
      <c r="L16" s="42">
        <f t="shared" si="1"/>
        <v>1106335.7143189528</v>
      </c>
      <c r="O16">
        <f t="shared" si="7"/>
        <v>6</v>
      </c>
      <c r="P16" s="42">
        <f t="shared" si="2"/>
        <v>49646.45793689265</v>
      </c>
      <c r="Q16" s="42"/>
      <c r="R16" s="42">
        <f t="shared" si="8"/>
        <v>-32582.531131227035</v>
      </c>
      <c r="S16" s="42" t="str">
        <f t="shared" si="3"/>
        <v/>
      </c>
      <c r="T16" s="1"/>
      <c r="U16" s="1">
        <f t="shared" si="9"/>
        <v>6.2609880850837962E-2</v>
      </c>
      <c r="V16" s="49">
        <f t="shared" si="10"/>
        <v>34486.186234490531</v>
      </c>
      <c r="W16" s="42">
        <f t="shared" si="11"/>
        <v>-136838.75071446385</v>
      </c>
      <c r="X16" s="48" t="str">
        <f t="shared" si="4"/>
        <v/>
      </c>
    </row>
    <row r="17" spans="1:25" x14ac:dyDescent="0.25">
      <c r="A17" s="38">
        <v>6.5</v>
      </c>
      <c r="B17" s="39">
        <v>6.7299999999999999E-2</v>
      </c>
      <c r="C17" s="40">
        <f t="shared" si="12"/>
        <v>3.4846165370218563E-2</v>
      </c>
      <c r="D17" s="40">
        <f t="shared" si="13"/>
        <v>7.0906585981445724E-2</v>
      </c>
      <c r="F17">
        <f t="shared" si="5"/>
        <v>6.5</v>
      </c>
      <c r="H17" s="42">
        <f t="shared" si="14"/>
        <v>0</v>
      </c>
      <c r="I17" s="42">
        <f t="shared" si="15"/>
        <v>103679.99999999993</v>
      </c>
      <c r="J17" s="42">
        <f t="shared" si="0"/>
        <v>103679.99999999993</v>
      </c>
      <c r="K17" s="1">
        <f t="shared" si="6"/>
        <v>7.0906585981445724E-2</v>
      </c>
      <c r="L17" s="42">
        <f t="shared" si="1"/>
        <v>1093510.8249548825</v>
      </c>
      <c r="O17">
        <f t="shared" si="7"/>
        <v>6.5</v>
      </c>
      <c r="P17" s="42">
        <f t="shared" si="2"/>
        <v>103679.99999999993</v>
      </c>
      <c r="Q17" s="42"/>
      <c r="R17" s="42">
        <f t="shared" si="8"/>
        <v>71097.468868772892</v>
      </c>
      <c r="S17" s="50">
        <f t="shared" si="3"/>
        <v>6.5</v>
      </c>
      <c r="T17" s="1"/>
      <c r="U17" s="1">
        <f t="shared" si="9"/>
        <v>7.0906585981445724E-2</v>
      </c>
      <c r="V17" s="49">
        <f t="shared" si="10"/>
        <v>66421.649583955368</v>
      </c>
      <c r="W17" s="42">
        <f t="shared" si="11"/>
        <v>-70417.101130508483</v>
      </c>
      <c r="X17" s="48" t="str">
        <f t="shared" si="4"/>
        <v/>
      </c>
    </row>
    <row r="18" spans="1:25" x14ac:dyDescent="0.25">
      <c r="A18" s="38">
        <v>7</v>
      </c>
      <c r="B18" s="39">
        <v>6.9699999999999998E-2</v>
      </c>
      <c r="C18" s="40">
        <f t="shared" si="12"/>
        <v>4.9473941170832481E-2</v>
      </c>
      <c r="D18" s="40">
        <f t="shared" si="13"/>
        <v>0.10139555319663995</v>
      </c>
      <c r="F18">
        <f t="shared" si="5"/>
        <v>7</v>
      </c>
      <c r="H18" s="42">
        <f t="shared" si="14"/>
        <v>50000</v>
      </c>
      <c r="I18" s="42">
        <f t="shared" si="15"/>
        <v>113575.74952427116</v>
      </c>
      <c r="J18" s="42">
        <f t="shared" si="0"/>
        <v>63575.749524271159</v>
      </c>
      <c r="K18" s="1">
        <f t="shared" si="6"/>
        <v>0.10139555319663995</v>
      </c>
      <c r="L18" s="42">
        <f t="shared" si="1"/>
        <v>1038801.656957777</v>
      </c>
      <c r="O18">
        <f t="shared" si="7"/>
        <v>7</v>
      </c>
      <c r="P18" s="42">
        <f t="shared" si="2"/>
        <v>63575.749524271159</v>
      </c>
      <c r="Q18" s="42"/>
      <c r="R18" s="42">
        <f t="shared" si="8"/>
        <v>134673.21839304405</v>
      </c>
      <c r="S18" s="50">
        <f t="shared" si="3"/>
        <v>7</v>
      </c>
      <c r="T18" s="1"/>
      <c r="U18" s="1">
        <f t="shared" si="9"/>
        <v>0.10139555319663995</v>
      </c>
      <c r="V18" s="49">
        <f t="shared" si="10"/>
        <v>32336.146068113747</v>
      </c>
      <c r="W18" s="42">
        <f t="shared" si="11"/>
        <v>-38080.955062394736</v>
      </c>
      <c r="X18" s="48" t="str">
        <f t="shared" si="4"/>
        <v/>
      </c>
    </row>
    <row r="19" spans="1:25" x14ac:dyDescent="0.25">
      <c r="A19" s="38">
        <v>7.5</v>
      </c>
      <c r="B19" s="39">
        <v>7.1599999999999997E-2</v>
      </c>
      <c r="C19" s="40">
        <f t="shared" si="12"/>
        <v>4.812074384280618E-2</v>
      </c>
      <c r="D19" s="40">
        <f t="shared" si="13"/>
        <v>9.8557093673597329E-2</v>
      </c>
      <c r="F19">
        <f t="shared" si="5"/>
        <v>7.5</v>
      </c>
      <c r="H19" s="42">
        <f t="shared" si="14"/>
        <v>0</v>
      </c>
      <c r="I19" s="42">
        <f t="shared" si="15"/>
        <v>124415.9999999999</v>
      </c>
      <c r="J19" s="42">
        <f t="shared" si="0"/>
        <v>124415.9999999999</v>
      </c>
      <c r="K19" s="1">
        <f t="shared" si="6"/>
        <v>9.8557093673597329E-2</v>
      </c>
      <c r="L19" s="42">
        <f t="shared" si="1"/>
        <v>1022154.5035139818</v>
      </c>
      <c r="O19">
        <f t="shared" si="7"/>
        <v>7.5</v>
      </c>
      <c r="P19" s="42">
        <f t="shared" si="2"/>
        <v>124415.9999999999</v>
      </c>
      <c r="Q19" s="42"/>
      <c r="R19" s="42">
        <f t="shared" si="8"/>
        <v>259089.21839304396</v>
      </c>
      <c r="S19" s="50">
        <f t="shared" si="3"/>
        <v>7.5</v>
      </c>
      <c r="T19" s="1"/>
      <c r="U19" s="1">
        <f t="shared" si="9"/>
        <v>9.8557093673597329E-2</v>
      </c>
      <c r="V19" s="49">
        <f t="shared" si="10"/>
        <v>61476.125525622774</v>
      </c>
      <c r="W19" s="42">
        <f t="shared" si="11"/>
        <v>23395.170463228038</v>
      </c>
      <c r="X19" s="48">
        <f t="shared" si="4"/>
        <v>7.5</v>
      </c>
    </row>
    <row r="20" spans="1:25" x14ac:dyDescent="0.25">
      <c r="A20" s="38">
        <v>8</v>
      </c>
      <c r="B20" s="39">
        <v>7.0999999999999994E-2</v>
      </c>
      <c r="C20" s="40">
        <f t="shared" si="12"/>
        <v>3.0553350586646433E-2</v>
      </c>
      <c r="D20" s="40">
        <f t="shared" si="13"/>
        <v>6.2040208405363284E-2</v>
      </c>
      <c r="F20">
        <f t="shared" si="5"/>
        <v>8</v>
      </c>
      <c r="H20" s="42">
        <f t="shared" si="14"/>
        <v>55000</v>
      </c>
      <c r="I20" s="42">
        <f t="shared" si="15"/>
        <v>136290.89942912536</v>
      </c>
      <c r="J20" s="42">
        <f t="shared" si="0"/>
        <v>81290.899429125362</v>
      </c>
      <c r="K20" s="1">
        <f t="shared" si="6"/>
        <v>6.2040208405363284E-2</v>
      </c>
      <c r="L20" s="42">
        <f t="shared" si="1"/>
        <v>925167.42274697591</v>
      </c>
      <c r="O20">
        <f t="shared" si="7"/>
        <v>8</v>
      </c>
      <c r="P20" s="42">
        <f t="shared" si="2"/>
        <v>81290.899429125362</v>
      </c>
      <c r="Q20" s="42"/>
      <c r="R20" s="42">
        <f t="shared" si="8"/>
        <v>340380.11782216933</v>
      </c>
      <c r="S20" s="50">
        <f t="shared" si="3"/>
        <v>8</v>
      </c>
      <c r="T20" s="1"/>
      <c r="U20" s="1">
        <f t="shared" si="9"/>
        <v>6.2040208405363284E-2</v>
      </c>
      <c r="V20" s="49">
        <f t="shared" si="10"/>
        <v>50224.341878302082</v>
      </c>
      <c r="W20" s="42">
        <f t="shared" si="11"/>
        <v>73619.51234153012</v>
      </c>
      <c r="X20" s="48">
        <f t="shared" si="4"/>
        <v>8</v>
      </c>
    </row>
    <row r="21" spans="1:25" x14ac:dyDescent="0.25">
      <c r="A21" s="38">
        <v>8.5</v>
      </c>
      <c r="B21" s="39">
        <v>6.8099999999999994E-2</v>
      </c>
      <c r="C21" s="40">
        <f t="shared" si="12"/>
        <v>1.1312817109295992E-2</v>
      </c>
      <c r="D21" s="40">
        <f t="shared" si="13"/>
        <v>2.2753614049540349E-2</v>
      </c>
      <c r="F21">
        <f t="shared" si="5"/>
        <v>8.5</v>
      </c>
      <c r="H21" s="42">
        <f t="shared" si="14"/>
        <v>0</v>
      </c>
      <c r="I21" s="42">
        <f t="shared" si="15"/>
        <v>140320.0692104731</v>
      </c>
      <c r="J21" s="42">
        <f t="shared" si="0"/>
        <v>140320.0692104731</v>
      </c>
      <c r="K21" s="1">
        <f t="shared" si="6"/>
        <v>2.2753614049540349E-2</v>
      </c>
      <c r="L21" s="42">
        <f t="shared" si="1"/>
        <v>853423.14408897399</v>
      </c>
      <c r="O21">
        <f t="shared" si="7"/>
        <v>8.5</v>
      </c>
      <c r="P21" s="42">
        <f t="shared" si="2"/>
        <v>140320.0692104731</v>
      </c>
      <c r="Q21" s="42"/>
      <c r="R21" s="42">
        <f t="shared" si="8"/>
        <v>480700.18703264243</v>
      </c>
      <c r="S21" s="50">
        <f t="shared" si="3"/>
        <v>8.5</v>
      </c>
      <c r="T21" s="1"/>
      <c r="U21" s="1">
        <f t="shared" si="9"/>
        <v>2.2753614049540349E-2</v>
      </c>
      <c r="V21" s="49">
        <f t="shared" si="10"/>
        <v>115895.37266106864</v>
      </c>
      <c r="W21" s="42">
        <f t="shared" si="11"/>
        <v>189514.88500259875</v>
      </c>
      <c r="X21" s="48">
        <f t="shared" si="4"/>
        <v>8.5</v>
      </c>
    </row>
    <row r="22" spans="1:25" x14ac:dyDescent="0.25">
      <c r="A22" s="38">
        <v>9</v>
      </c>
      <c r="B22" s="39">
        <v>6.4699999999999994E-2</v>
      </c>
      <c r="C22" s="40">
        <f t="shared" si="12"/>
        <v>4.2550135535874833E-3</v>
      </c>
      <c r="D22" s="40">
        <f t="shared" si="13"/>
        <v>8.5281322475161403E-3</v>
      </c>
      <c r="F22">
        <f t="shared" si="5"/>
        <v>9</v>
      </c>
      <c r="H22" s="42">
        <f t="shared" si="14"/>
        <v>60000</v>
      </c>
      <c r="I22" s="42">
        <f t="shared" si="15"/>
        <v>144468.35339487289</v>
      </c>
      <c r="J22" s="42">
        <f t="shared" si="0"/>
        <v>84468.353394872887</v>
      </c>
      <c r="K22" s="1">
        <f t="shared" si="6"/>
        <v>8.5281322475161403E-3</v>
      </c>
      <c r="L22" s="42">
        <f t="shared" si="1"/>
        <v>716137.33812721388</v>
      </c>
      <c r="O22">
        <f t="shared" si="7"/>
        <v>9</v>
      </c>
      <c r="P22" s="42">
        <f t="shared" si="2"/>
        <v>84468.353394872887</v>
      </c>
      <c r="Q22" s="42"/>
      <c r="R22" s="42">
        <f t="shared" si="8"/>
        <v>565168.54042751528</v>
      </c>
      <c r="S22" s="50">
        <f t="shared" si="3"/>
        <v>9</v>
      </c>
      <c r="T22" s="1"/>
      <c r="U22" s="1">
        <f t="shared" si="9"/>
        <v>8.5281322475161403E-3</v>
      </c>
      <c r="V22" s="49">
        <f t="shared" si="10"/>
        <v>78253.158257215124</v>
      </c>
      <c r="W22" s="42">
        <f t="shared" si="11"/>
        <v>267768.04325981386</v>
      </c>
      <c r="X22" s="48">
        <f t="shared" si="4"/>
        <v>9</v>
      </c>
    </row>
    <row r="23" spans="1:25" x14ac:dyDescent="0.25">
      <c r="A23" s="38">
        <v>9.5</v>
      </c>
      <c r="B23" s="39">
        <v>6.3600000000000004E-2</v>
      </c>
      <c r="C23" s="40">
        <f t="shared" si="12"/>
        <v>2.1759856017497636E-2</v>
      </c>
      <c r="D23" s="40">
        <f t="shared" si="13"/>
        <v>4.3993203368897449E-2</v>
      </c>
      <c r="F23">
        <f t="shared" si="5"/>
        <v>9.5</v>
      </c>
      <c r="H23" s="42">
        <f t="shared" si="14"/>
        <v>0</v>
      </c>
      <c r="I23" s="42">
        <f t="shared" si="15"/>
        <v>148739.2733631015</v>
      </c>
      <c r="J23" s="42">
        <f t="shared" si="0"/>
        <v>148739.2733631015</v>
      </c>
      <c r="K23" s="1">
        <f t="shared" si="6"/>
        <v>4.3993203368897449E-2</v>
      </c>
      <c r="L23" s="42">
        <f t="shared" si="1"/>
        <v>645414.01089083566</v>
      </c>
      <c r="O23">
        <f t="shared" si="7"/>
        <v>9.5</v>
      </c>
      <c r="P23" s="42">
        <f t="shared" si="2"/>
        <v>148739.2733631015</v>
      </c>
      <c r="Q23" s="42"/>
      <c r="R23" s="42">
        <f t="shared" si="8"/>
        <v>713907.81379061681</v>
      </c>
      <c r="S23" s="50">
        <f t="shared" si="3"/>
        <v>9.5</v>
      </c>
      <c r="T23" s="1"/>
      <c r="U23" s="1">
        <f t="shared" si="9"/>
        <v>4.3993203368897449E-2</v>
      </c>
      <c r="V23" s="49">
        <f t="shared" si="10"/>
        <v>98809.289839274337</v>
      </c>
      <c r="W23" s="42">
        <f t="shared" si="11"/>
        <v>366577.33309908817</v>
      </c>
      <c r="X23" s="48">
        <f t="shared" si="4"/>
        <v>9.5</v>
      </c>
    </row>
    <row r="24" spans="1:25" x14ac:dyDescent="0.25">
      <c r="A24" s="38">
        <v>10</v>
      </c>
      <c r="B24" s="39">
        <v>6.7599999999999993E-2</v>
      </c>
      <c r="C24" s="40">
        <f t="shared" si="12"/>
        <v>7.0758495680143696E-2</v>
      </c>
      <c r="D24" s="40">
        <f t="shared" si="13"/>
        <v>0.14652375607120427</v>
      </c>
      <c r="F24">
        <f t="shared" si="5"/>
        <v>10</v>
      </c>
      <c r="H24" s="42">
        <f t="shared" si="14"/>
        <v>65000</v>
      </c>
      <c r="I24" s="42">
        <f t="shared" si="15"/>
        <v>153136.45459856527</v>
      </c>
      <c r="J24" s="42">
        <f t="shared" si="0"/>
        <v>88136.454598565266</v>
      </c>
      <c r="K24" s="1">
        <f t="shared" si="6"/>
        <v>0.14652375607120427</v>
      </c>
      <c r="L24" s="42">
        <f t="shared" si="1"/>
        <v>531818.69479752681</v>
      </c>
      <c r="O24">
        <f t="shared" si="7"/>
        <v>10</v>
      </c>
      <c r="P24" s="42">
        <f t="shared" si="2"/>
        <v>88136.454598565266</v>
      </c>
      <c r="Q24" s="42"/>
      <c r="R24" s="42">
        <f t="shared" si="8"/>
        <v>802044.26838918205</v>
      </c>
      <c r="S24" s="50">
        <f t="shared" si="3"/>
        <v>10</v>
      </c>
      <c r="T24" s="1"/>
      <c r="U24" s="1">
        <f t="shared" si="9"/>
        <v>0.14652375607120427</v>
      </c>
      <c r="V24" s="49">
        <f t="shared" si="10"/>
        <v>22455.617324236151</v>
      </c>
      <c r="W24" s="42">
        <f t="shared" si="11"/>
        <v>389032.95042332431</v>
      </c>
      <c r="X24" s="48">
        <f t="shared" si="4"/>
        <v>10</v>
      </c>
    </row>
    <row r="25" spans="1:25" x14ac:dyDescent="0.25">
      <c r="A25" s="38">
        <v>10.5</v>
      </c>
      <c r="B25" s="39">
        <v>7.4999999999999997E-2</v>
      </c>
      <c r="C25" s="40">
        <f t="shared" si="12"/>
        <v>0.110972281391579</v>
      </c>
      <c r="D25" s="40">
        <f t="shared" si="13"/>
        <v>0.23425941002040984</v>
      </c>
      <c r="F25">
        <f t="shared" si="5"/>
        <v>10.5</v>
      </c>
      <c r="H25" s="42">
        <f t="shared" si="14"/>
        <v>0</v>
      </c>
      <c r="I25" s="42">
        <f t="shared" si="15"/>
        <v>157663.62976488759</v>
      </c>
      <c r="J25" s="42">
        <f t="shared" si="0"/>
        <v>157663.62976488759</v>
      </c>
      <c r="K25" s="1">
        <f t="shared" si="6"/>
        <v>0.23425941002040984</v>
      </c>
      <c r="L25" s="42">
        <f t="shared" si="1"/>
        <v>492918.67060676683</v>
      </c>
      <c r="O25">
        <f t="shared" si="7"/>
        <v>10.5</v>
      </c>
      <c r="P25" s="42">
        <f t="shared" si="2"/>
        <v>157663.62976488759</v>
      </c>
      <c r="Q25" s="42"/>
      <c r="R25" s="42">
        <f t="shared" si="8"/>
        <v>959707.89815406967</v>
      </c>
      <c r="S25" s="50">
        <f t="shared" si="3"/>
        <v>10.5</v>
      </c>
      <c r="T25" s="1"/>
      <c r="U25" s="1">
        <f t="shared" si="9"/>
        <v>0.23425941002040984</v>
      </c>
      <c r="V25" s="49">
        <f t="shared" si="10"/>
        <v>17296.722884634797</v>
      </c>
      <c r="W25" s="42">
        <f t="shared" si="11"/>
        <v>406329.67330795911</v>
      </c>
      <c r="X25" s="48">
        <f t="shared" si="4"/>
        <v>10.5</v>
      </c>
    </row>
    <row r="26" spans="1:25" x14ac:dyDescent="0.25">
      <c r="A26" s="38">
        <v>11</v>
      </c>
      <c r="B26" s="39">
        <v>7.6200000000000004E-2</v>
      </c>
      <c r="C26" s="40">
        <f t="shared" si="12"/>
        <v>4.9624574584282488E-2</v>
      </c>
      <c r="D26" s="40">
        <f t="shared" si="13"/>
        <v>0.10171174757123591</v>
      </c>
      <c r="F26">
        <f t="shared" si="5"/>
        <v>11</v>
      </c>
      <c r="H26" s="42">
        <f t="shared" si="14"/>
        <v>70000</v>
      </c>
      <c r="I26" s="42">
        <f t="shared" si="15"/>
        <v>162324.64187447919</v>
      </c>
      <c r="J26" s="42">
        <f t="shared" si="0"/>
        <v>92324.641874479188</v>
      </c>
      <c r="K26" s="1">
        <f t="shared" si="6"/>
        <v>0.10171174757123591</v>
      </c>
      <c r="L26" s="42">
        <f t="shared" si="1"/>
        <v>351891.92962089379</v>
      </c>
      <c r="O26">
        <f t="shared" si="7"/>
        <v>11</v>
      </c>
      <c r="P26" s="42">
        <f t="shared" si="2"/>
        <v>92324.641874479188</v>
      </c>
      <c r="Q26" s="42"/>
      <c r="R26" s="42">
        <f t="shared" si="8"/>
        <v>1052032.5400285488</v>
      </c>
      <c r="S26" s="50">
        <f t="shared" si="3"/>
        <v>11</v>
      </c>
      <c r="T26" s="1"/>
      <c r="U26" s="1">
        <f t="shared" si="9"/>
        <v>0.10171174757123591</v>
      </c>
      <c r="V26" s="49">
        <f t="shared" si="10"/>
        <v>31810.45257006121</v>
      </c>
      <c r="W26" s="42">
        <f t="shared" si="11"/>
        <v>438140.12587802031</v>
      </c>
      <c r="X26" s="48">
        <f t="shared" si="4"/>
        <v>11</v>
      </c>
    </row>
    <row r="27" spans="1:25" x14ac:dyDescent="0.25">
      <c r="A27" s="38">
        <v>11.5</v>
      </c>
      <c r="B27" s="39">
        <v>7.3700000000000002E-2</v>
      </c>
      <c r="C27" s="40">
        <f t="shared" si="12"/>
        <v>1.0022610222444106E-2</v>
      </c>
      <c r="D27" s="40">
        <f t="shared" si="13"/>
        <v>2.0145673160559152E-2</v>
      </c>
      <c r="F27">
        <f t="shared" si="5"/>
        <v>11.5</v>
      </c>
      <c r="H27" s="42">
        <f t="shared" si="14"/>
        <v>0</v>
      </c>
      <c r="I27" s="42">
        <f t="shared" si="15"/>
        <v>167123.44755078084</v>
      </c>
      <c r="J27" s="42">
        <f t="shared" si="0"/>
        <v>167123.44755078084</v>
      </c>
      <c r="K27" s="1">
        <f t="shared" si="6"/>
        <v>2.0145673160559152E-2</v>
      </c>
      <c r="L27" s="42">
        <f t="shared" si="1"/>
        <v>262168.82949799387</v>
      </c>
      <c r="O27">
        <f t="shared" si="7"/>
        <v>11.5</v>
      </c>
      <c r="P27" s="42">
        <f t="shared" si="2"/>
        <v>167123.44755078084</v>
      </c>
      <c r="Q27" s="42"/>
      <c r="R27" s="42">
        <f t="shared" si="8"/>
        <v>1219155.9875793296</v>
      </c>
      <c r="S27" s="50">
        <f t="shared" si="3"/>
        <v>11.5</v>
      </c>
      <c r="T27" s="1"/>
      <c r="U27" s="1">
        <f t="shared" si="9"/>
        <v>2.0145673160559152E-2</v>
      </c>
      <c r="V27" s="49">
        <f t="shared" si="10"/>
        <v>132868.54501664976</v>
      </c>
      <c r="W27" s="42">
        <f t="shared" si="11"/>
        <v>571008.67089467007</v>
      </c>
      <c r="X27" s="48">
        <f t="shared" si="4"/>
        <v>11.5</v>
      </c>
    </row>
    <row r="28" spans="1:25" x14ac:dyDescent="0.25">
      <c r="A28" s="38">
        <v>12</v>
      </c>
      <c r="B28" s="39">
        <v>7.2400000000000006E-2</v>
      </c>
      <c r="C28" s="40">
        <f t="shared" si="12"/>
        <v>2.1239731993039301E-2</v>
      </c>
      <c r="D28" s="40">
        <f t="shared" si="13"/>
        <v>4.2930590201214702E-2</v>
      </c>
      <c r="F28">
        <f t="shared" si="5"/>
        <v>12</v>
      </c>
      <c r="H28" s="42">
        <f t="shared" si="14"/>
        <v>75000</v>
      </c>
      <c r="I28" s="42">
        <f t="shared" si="15"/>
        <v>172064.12038694791</v>
      </c>
      <c r="J28" s="42">
        <f t="shared" si="0"/>
        <v>97064.120386947907</v>
      </c>
      <c r="K28" s="1">
        <f t="shared" si="6"/>
        <v>4.2930590201214702E-2</v>
      </c>
      <c r="L28" s="42">
        <f t="shared" si="1"/>
        <v>97064.120386947907</v>
      </c>
      <c r="O28">
        <f t="shared" si="7"/>
        <v>12</v>
      </c>
      <c r="P28" s="42">
        <f t="shared" si="2"/>
        <v>97064.120386947907</v>
      </c>
      <c r="Q28" s="42"/>
      <c r="R28" s="42">
        <f t="shared" si="8"/>
        <v>1316220.1079662775</v>
      </c>
      <c r="S28" s="50">
        <f t="shared" si="3"/>
        <v>12</v>
      </c>
      <c r="T28" s="1"/>
      <c r="U28" s="1">
        <f t="shared" si="9"/>
        <v>4.2930590201214702E-2</v>
      </c>
      <c r="V28" s="49">
        <f t="shared" si="10"/>
        <v>58612.986700769754</v>
      </c>
      <c r="W28" s="42">
        <f t="shared" si="11"/>
        <v>629621.65759543981</v>
      </c>
      <c r="X28" s="48">
        <f t="shared" si="4"/>
        <v>12</v>
      </c>
    </row>
    <row r="29" spans="1:25" ht="15.75" thickBot="1" x14ac:dyDescent="0.3"/>
    <row r="30" spans="1:25" ht="15.75" thickBot="1" x14ac:dyDescent="0.3">
      <c r="R30" s="51" t="s">
        <v>81</v>
      </c>
      <c r="S30" s="52">
        <f>MIN(S4:S28)</f>
        <v>6.5</v>
      </c>
      <c r="T30" s="53"/>
      <c r="W30" s="51" t="s">
        <v>59</v>
      </c>
      <c r="X30" s="52">
        <f>MIN(X4:X28)</f>
        <v>7.5</v>
      </c>
      <c r="Y30" s="53"/>
    </row>
  </sheetData>
  <pageMargins left="0.7" right="0.7" top="0.75" bottom="0.75" header="0.3" footer="0.3"/>
  <pageSetup paperSize="9" orientation="portrait" horizontalDpi="4294967294"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6AB5C-0CEC-4119-BB78-CBEBF1EE4A42}">
  <dimension ref="A1:M133"/>
  <sheetViews>
    <sheetView tabSelected="1" topLeftCell="A2" workbookViewId="0">
      <selection activeCell="A21" sqref="A21"/>
    </sheetView>
  </sheetViews>
  <sheetFormatPr defaultRowHeight="15" x14ac:dyDescent="0.25"/>
  <cols>
    <col min="1" max="1" width="36" customWidth="1"/>
    <col min="5" max="5" width="14.28515625" customWidth="1"/>
    <col min="7" max="7" width="15" customWidth="1"/>
    <col min="8" max="8" width="13.85546875" customWidth="1"/>
    <col min="10" max="10" width="12.28515625" customWidth="1"/>
    <col min="11" max="11" width="10.42578125" bestFit="1" customWidth="1"/>
    <col min="12" max="12" width="10.7109375" customWidth="1"/>
    <col min="13" max="13" width="12.7109375" customWidth="1"/>
  </cols>
  <sheetData>
    <row r="1" spans="1:13" x14ac:dyDescent="0.25">
      <c r="A1" t="s">
        <v>83</v>
      </c>
    </row>
    <row r="3" spans="1:13" x14ac:dyDescent="0.25">
      <c r="A3" t="s">
        <v>84</v>
      </c>
      <c r="B3" s="2">
        <v>0.01</v>
      </c>
    </row>
    <row r="4" spans="1:13" x14ac:dyDescent="0.25">
      <c r="A4" t="s">
        <v>85</v>
      </c>
      <c r="B4" s="1">
        <v>8.5000000000000006E-3</v>
      </c>
    </row>
    <row r="5" spans="1:13" x14ac:dyDescent="0.25">
      <c r="A5" t="s">
        <v>86</v>
      </c>
      <c r="B5">
        <v>33</v>
      </c>
      <c r="C5" t="s">
        <v>93</v>
      </c>
    </row>
    <row r="6" spans="1:13" x14ac:dyDescent="0.25">
      <c r="A6" t="s">
        <v>87</v>
      </c>
      <c r="B6">
        <v>6</v>
      </c>
      <c r="C6" t="s">
        <v>93</v>
      </c>
    </row>
    <row r="7" spans="1:13" x14ac:dyDescent="0.25">
      <c r="A7" t="s">
        <v>88</v>
      </c>
      <c r="B7">
        <v>9</v>
      </c>
      <c r="C7" t="s">
        <v>93</v>
      </c>
    </row>
    <row r="8" spans="1:13" x14ac:dyDescent="0.25">
      <c r="A8" t="s">
        <v>89</v>
      </c>
      <c r="B8">
        <v>12</v>
      </c>
      <c r="C8" t="s">
        <v>93</v>
      </c>
    </row>
    <row r="9" spans="1:13" x14ac:dyDescent="0.25">
      <c r="A9" t="s">
        <v>90</v>
      </c>
      <c r="B9">
        <v>0.05</v>
      </c>
      <c r="C9" t="s">
        <v>93</v>
      </c>
    </row>
    <row r="10" spans="1:13" x14ac:dyDescent="0.25">
      <c r="A10" t="s">
        <v>91</v>
      </c>
      <c r="B10">
        <v>5.75</v>
      </c>
      <c r="C10" t="s">
        <v>93</v>
      </c>
    </row>
    <row r="11" spans="1:13" x14ac:dyDescent="0.25">
      <c r="A11" t="s">
        <v>92</v>
      </c>
      <c r="B11">
        <v>0.75</v>
      </c>
      <c r="C11" t="s">
        <v>93</v>
      </c>
    </row>
    <row r="13" spans="1:13" ht="31.5" customHeight="1" x14ac:dyDescent="0.25">
      <c r="D13" s="57" t="s">
        <v>94</v>
      </c>
      <c r="E13" s="57" t="s">
        <v>95</v>
      </c>
      <c r="F13" s="57" t="s">
        <v>96</v>
      </c>
      <c r="G13" s="57" t="s">
        <v>97</v>
      </c>
      <c r="H13" s="57" t="s">
        <v>98</v>
      </c>
      <c r="I13" s="57" t="s">
        <v>99</v>
      </c>
      <c r="J13" s="57" t="s">
        <v>100</v>
      </c>
      <c r="K13" s="57" t="s">
        <v>101</v>
      </c>
      <c r="L13" s="57" t="s">
        <v>102</v>
      </c>
      <c r="M13" s="57" t="s">
        <v>103</v>
      </c>
    </row>
    <row r="14" spans="1:13" x14ac:dyDescent="0.25">
      <c r="D14" s="54">
        <v>1</v>
      </c>
      <c r="E14" s="55">
        <v>44013</v>
      </c>
      <c r="F14" s="54">
        <f>IF(MONTH(E14)=7,1,0)</f>
        <v>1</v>
      </c>
      <c r="G14" s="15">
        <f>B5</f>
        <v>33</v>
      </c>
      <c r="H14" s="15">
        <f>$B$5*$B$3</f>
        <v>0.33</v>
      </c>
      <c r="I14" s="15">
        <f>$B$6/12</f>
        <v>0.5</v>
      </c>
      <c r="J14" s="15"/>
      <c r="K14" s="15"/>
      <c r="L14" s="15"/>
      <c r="M14" s="56">
        <f>G14*(1+$B$4)-H14-I14-J14+K14-L14</f>
        <v>32.450499999999998</v>
      </c>
    </row>
    <row r="15" spans="1:13" x14ac:dyDescent="0.25">
      <c r="D15" s="54">
        <f>D14+1</f>
        <v>2</v>
      </c>
      <c r="E15" s="55">
        <v>44044</v>
      </c>
      <c r="F15" s="54">
        <f t="shared" ref="F15:F78" si="0">IF(MONTH(E15)=7,1,0)</f>
        <v>0</v>
      </c>
      <c r="G15" s="15">
        <f>M14</f>
        <v>32.450499999999998</v>
      </c>
      <c r="H15" s="15">
        <f t="shared" ref="H15:H78" si="1">$B$5*$B$3</f>
        <v>0.33</v>
      </c>
      <c r="I15" s="15">
        <f t="shared" ref="I15:I25" si="2">$B$6/12</f>
        <v>0.5</v>
      </c>
      <c r="J15" s="15"/>
      <c r="K15" s="15"/>
      <c r="L15" s="15"/>
      <c r="M15" s="56">
        <f t="shared" ref="M15:M78" si="3">G15*(1+$B$4)-H15-I15-J15+K15-L15</f>
        <v>31.896329250000001</v>
      </c>
    </row>
    <row r="16" spans="1:13" x14ac:dyDescent="0.25">
      <c r="D16" s="54">
        <f t="shared" ref="D16:D79" si="4">D15+1</f>
        <v>3</v>
      </c>
      <c r="E16" s="55">
        <v>44075</v>
      </c>
      <c r="F16" s="54">
        <f t="shared" si="0"/>
        <v>0</v>
      </c>
      <c r="G16" s="15">
        <f t="shared" ref="G16:G79" si="5">M15</f>
        <v>31.896329250000001</v>
      </c>
      <c r="H16" s="15">
        <f t="shared" si="1"/>
        <v>0.33</v>
      </c>
      <c r="I16" s="15">
        <f t="shared" si="2"/>
        <v>0.5</v>
      </c>
      <c r="J16" s="15"/>
      <c r="K16" s="15"/>
      <c r="L16" s="15"/>
      <c r="M16" s="56">
        <f t="shared" si="3"/>
        <v>31.337448048624999</v>
      </c>
    </row>
    <row r="17" spans="4:13" x14ac:dyDescent="0.25">
      <c r="D17" s="54">
        <f t="shared" si="4"/>
        <v>4</v>
      </c>
      <c r="E17" s="55">
        <v>44105</v>
      </c>
      <c r="F17" s="54">
        <f t="shared" si="0"/>
        <v>0</v>
      </c>
      <c r="G17" s="15">
        <f t="shared" si="5"/>
        <v>31.337448048624999</v>
      </c>
      <c r="H17" s="15">
        <f t="shared" si="1"/>
        <v>0.33</v>
      </c>
      <c r="I17" s="15">
        <f t="shared" si="2"/>
        <v>0.5</v>
      </c>
      <c r="J17" s="15"/>
      <c r="K17" s="15"/>
      <c r="L17" s="15"/>
      <c r="M17" s="56">
        <f t="shared" si="3"/>
        <v>30.773816357038314</v>
      </c>
    </row>
    <row r="18" spans="4:13" x14ac:dyDescent="0.25">
      <c r="D18" s="54">
        <f t="shared" si="4"/>
        <v>5</v>
      </c>
      <c r="E18" s="55">
        <v>44136</v>
      </c>
      <c r="F18" s="54">
        <f t="shared" si="0"/>
        <v>0</v>
      </c>
      <c r="G18" s="15">
        <f t="shared" si="5"/>
        <v>30.773816357038314</v>
      </c>
      <c r="H18" s="15">
        <f t="shared" si="1"/>
        <v>0.33</v>
      </c>
      <c r="I18" s="15">
        <f t="shared" si="2"/>
        <v>0.5</v>
      </c>
      <c r="J18" s="15"/>
      <c r="K18" s="15"/>
      <c r="L18" s="15"/>
      <c r="M18" s="56">
        <f t="shared" si="3"/>
        <v>30.205393796073139</v>
      </c>
    </row>
    <row r="19" spans="4:13" x14ac:dyDescent="0.25">
      <c r="D19" s="54">
        <f t="shared" si="4"/>
        <v>6</v>
      </c>
      <c r="E19" s="55">
        <v>44166</v>
      </c>
      <c r="F19" s="54">
        <f t="shared" si="0"/>
        <v>0</v>
      </c>
      <c r="G19" s="15">
        <f t="shared" si="5"/>
        <v>30.205393796073139</v>
      </c>
      <c r="H19" s="15">
        <f t="shared" si="1"/>
        <v>0.33</v>
      </c>
      <c r="I19" s="15">
        <f t="shared" si="2"/>
        <v>0.5</v>
      </c>
      <c r="J19" s="15"/>
      <c r="K19" s="15"/>
      <c r="L19" s="15"/>
      <c r="M19" s="56">
        <f t="shared" si="3"/>
        <v>29.632139643339762</v>
      </c>
    </row>
    <row r="20" spans="4:13" x14ac:dyDescent="0.25">
      <c r="D20" s="54">
        <f t="shared" si="4"/>
        <v>7</v>
      </c>
      <c r="E20" s="55">
        <v>44197</v>
      </c>
      <c r="F20" s="54">
        <f t="shared" si="0"/>
        <v>0</v>
      </c>
      <c r="G20" s="15">
        <f t="shared" si="5"/>
        <v>29.632139643339762</v>
      </c>
      <c r="H20" s="15">
        <f t="shared" si="1"/>
        <v>0.33</v>
      </c>
      <c r="I20" s="15">
        <f t="shared" si="2"/>
        <v>0.5</v>
      </c>
      <c r="J20" s="15"/>
      <c r="K20" s="15"/>
      <c r="L20" s="15"/>
      <c r="M20" s="56">
        <f t="shared" si="3"/>
        <v>29.05401283030815</v>
      </c>
    </row>
    <row r="21" spans="4:13" x14ac:dyDescent="0.25">
      <c r="D21" s="54">
        <f t="shared" si="4"/>
        <v>8</v>
      </c>
      <c r="E21" s="55">
        <v>44228</v>
      </c>
      <c r="F21" s="54">
        <f t="shared" si="0"/>
        <v>0</v>
      </c>
      <c r="G21" s="15">
        <f t="shared" si="5"/>
        <v>29.05401283030815</v>
      </c>
      <c r="H21" s="15">
        <f t="shared" si="1"/>
        <v>0.33</v>
      </c>
      <c r="I21" s="15">
        <f t="shared" si="2"/>
        <v>0.5</v>
      </c>
      <c r="J21" s="15"/>
      <c r="K21" s="15"/>
      <c r="L21" s="15"/>
      <c r="M21" s="56">
        <f t="shared" si="3"/>
        <v>28.470971939365768</v>
      </c>
    </row>
    <row r="22" spans="4:13" x14ac:dyDescent="0.25">
      <c r="D22" s="54">
        <f t="shared" si="4"/>
        <v>9</v>
      </c>
      <c r="E22" s="55">
        <v>44256</v>
      </c>
      <c r="F22" s="54">
        <f t="shared" si="0"/>
        <v>0</v>
      </c>
      <c r="G22" s="15">
        <f t="shared" si="5"/>
        <v>28.470971939365768</v>
      </c>
      <c r="H22" s="15">
        <f t="shared" si="1"/>
        <v>0.33</v>
      </c>
      <c r="I22" s="15">
        <f t="shared" si="2"/>
        <v>0.5</v>
      </c>
      <c r="J22" s="15"/>
      <c r="K22" s="15"/>
      <c r="L22" s="15"/>
      <c r="M22" s="56">
        <f t="shared" si="3"/>
        <v>27.882975200850378</v>
      </c>
    </row>
    <row r="23" spans="4:13" x14ac:dyDescent="0.25">
      <c r="D23" s="54">
        <f t="shared" si="4"/>
        <v>10</v>
      </c>
      <c r="E23" s="55">
        <v>44287</v>
      </c>
      <c r="F23" s="54">
        <f t="shared" si="0"/>
        <v>0</v>
      </c>
      <c r="G23" s="15">
        <f t="shared" si="5"/>
        <v>27.882975200850378</v>
      </c>
      <c r="H23" s="15">
        <f t="shared" si="1"/>
        <v>0.33</v>
      </c>
      <c r="I23" s="15">
        <f>$B$6/12</f>
        <v>0.5</v>
      </c>
      <c r="J23" s="15"/>
      <c r="K23" s="15"/>
      <c r="L23" s="15"/>
      <c r="M23" s="56">
        <f t="shared" si="3"/>
        <v>27.289980490057605</v>
      </c>
    </row>
    <row r="24" spans="4:13" x14ac:dyDescent="0.25">
      <c r="D24" s="54">
        <f t="shared" si="4"/>
        <v>11</v>
      </c>
      <c r="E24" s="55">
        <v>44317</v>
      </c>
      <c r="F24" s="54">
        <f t="shared" si="0"/>
        <v>0</v>
      </c>
      <c r="G24" s="15">
        <f t="shared" si="5"/>
        <v>27.289980490057605</v>
      </c>
      <c r="H24" s="15">
        <f t="shared" si="1"/>
        <v>0.33</v>
      </c>
      <c r="I24" s="15">
        <f t="shared" si="2"/>
        <v>0.5</v>
      </c>
      <c r="J24" s="15"/>
      <c r="K24" s="15"/>
      <c r="L24" s="15"/>
      <c r="M24" s="56">
        <f t="shared" si="3"/>
        <v>26.691945324223095</v>
      </c>
    </row>
    <row r="25" spans="4:13" x14ac:dyDescent="0.25">
      <c r="D25" s="54">
        <f t="shared" si="4"/>
        <v>12</v>
      </c>
      <c r="E25" s="55">
        <v>44348</v>
      </c>
      <c r="F25" s="54">
        <f t="shared" si="0"/>
        <v>0</v>
      </c>
      <c r="G25" s="15">
        <f t="shared" si="5"/>
        <v>26.691945324223095</v>
      </c>
      <c r="H25" s="15">
        <f t="shared" si="1"/>
        <v>0.33</v>
      </c>
      <c r="I25" s="15">
        <f t="shared" si="2"/>
        <v>0.5</v>
      </c>
      <c r="J25" s="15"/>
      <c r="K25" s="15"/>
      <c r="L25" s="15"/>
      <c r="M25" s="56">
        <f t="shared" si="3"/>
        <v>26.088826859478992</v>
      </c>
    </row>
    <row r="26" spans="4:13" x14ac:dyDescent="0.25">
      <c r="D26" s="54">
        <f t="shared" si="4"/>
        <v>13</v>
      </c>
      <c r="E26" s="55">
        <v>44378</v>
      </c>
      <c r="F26" s="54">
        <f t="shared" si="0"/>
        <v>1</v>
      </c>
      <c r="G26" s="15">
        <f t="shared" si="5"/>
        <v>26.088826859478992</v>
      </c>
      <c r="H26" s="15">
        <f t="shared" si="1"/>
        <v>0.33</v>
      </c>
      <c r="I26" s="15">
        <f>$B$7/12</f>
        <v>0.75</v>
      </c>
      <c r="J26" s="15"/>
      <c r="K26" s="15"/>
      <c r="L26" s="15"/>
      <c r="M26" s="56">
        <f t="shared" si="3"/>
        <v>25.230581887784563</v>
      </c>
    </row>
    <row r="27" spans="4:13" x14ac:dyDescent="0.25">
      <c r="D27" s="54">
        <f t="shared" si="4"/>
        <v>14</v>
      </c>
      <c r="E27" s="55">
        <v>44409</v>
      </c>
      <c r="F27" s="54">
        <f t="shared" si="0"/>
        <v>0</v>
      </c>
      <c r="G27" s="15">
        <f t="shared" si="5"/>
        <v>25.230581887784563</v>
      </c>
      <c r="H27" s="15">
        <f t="shared" si="1"/>
        <v>0.33</v>
      </c>
      <c r="I27" s="15">
        <f t="shared" ref="I27:I35" si="6">$B$7/12</f>
        <v>0.75</v>
      </c>
      <c r="J27" s="15"/>
      <c r="K27" s="15"/>
      <c r="L27" s="15"/>
      <c r="M27" s="56">
        <f t="shared" si="3"/>
        <v>24.365041833830734</v>
      </c>
    </row>
    <row r="28" spans="4:13" x14ac:dyDescent="0.25">
      <c r="D28" s="54">
        <f t="shared" si="4"/>
        <v>15</v>
      </c>
      <c r="E28" s="55">
        <v>44440</v>
      </c>
      <c r="F28" s="54">
        <f t="shared" si="0"/>
        <v>0</v>
      </c>
      <c r="G28" s="15">
        <f t="shared" si="5"/>
        <v>24.365041833830734</v>
      </c>
      <c r="H28" s="15">
        <f t="shared" si="1"/>
        <v>0.33</v>
      </c>
      <c r="I28" s="15">
        <f t="shared" si="6"/>
        <v>0.75</v>
      </c>
      <c r="J28" s="15"/>
      <c r="K28" s="15"/>
      <c r="L28" s="15"/>
      <c r="M28" s="56">
        <f t="shared" si="3"/>
        <v>23.492144689418296</v>
      </c>
    </row>
    <row r="29" spans="4:13" x14ac:dyDescent="0.25">
      <c r="D29" s="54">
        <f t="shared" si="4"/>
        <v>16</v>
      </c>
      <c r="E29" s="55">
        <v>44470</v>
      </c>
      <c r="F29" s="54">
        <f t="shared" si="0"/>
        <v>0</v>
      </c>
      <c r="G29" s="15">
        <f t="shared" si="5"/>
        <v>23.492144689418296</v>
      </c>
      <c r="H29" s="15">
        <f t="shared" si="1"/>
        <v>0.33</v>
      </c>
      <c r="I29" s="15">
        <f t="shared" si="6"/>
        <v>0.75</v>
      </c>
      <c r="J29" s="15"/>
      <c r="K29" s="15"/>
      <c r="L29" s="15"/>
      <c r="M29" s="56">
        <f t="shared" si="3"/>
        <v>22.611827919278351</v>
      </c>
    </row>
    <row r="30" spans="4:13" x14ac:dyDescent="0.25">
      <c r="D30" s="54">
        <f t="shared" si="4"/>
        <v>17</v>
      </c>
      <c r="E30" s="55">
        <v>44501</v>
      </c>
      <c r="F30" s="54">
        <f t="shared" si="0"/>
        <v>0</v>
      </c>
      <c r="G30" s="15">
        <f t="shared" si="5"/>
        <v>22.611827919278351</v>
      </c>
      <c r="H30" s="15">
        <f t="shared" si="1"/>
        <v>0.33</v>
      </c>
      <c r="I30" s="15">
        <f t="shared" si="6"/>
        <v>0.75</v>
      </c>
      <c r="J30" s="15"/>
      <c r="K30" s="15"/>
      <c r="L30" s="15"/>
      <c r="M30" s="56">
        <f t="shared" si="3"/>
        <v>21.724028456592219</v>
      </c>
    </row>
    <row r="31" spans="4:13" x14ac:dyDescent="0.25">
      <c r="D31" s="54">
        <f t="shared" si="4"/>
        <v>18</v>
      </c>
      <c r="E31" s="55">
        <v>44531</v>
      </c>
      <c r="F31" s="54">
        <f t="shared" si="0"/>
        <v>0</v>
      </c>
      <c r="G31" s="15">
        <f t="shared" si="5"/>
        <v>21.724028456592219</v>
      </c>
      <c r="H31" s="15">
        <f t="shared" si="1"/>
        <v>0.33</v>
      </c>
      <c r="I31" s="15">
        <f t="shared" si="6"/>
        <v>0.75</v>
      </c>
      <c r="J31" s="15"/>
      <c r="K31" s="15"/>
      <c r="L31" s="15"/>
      <c r="M31" s="56">
        <f t="shared" si="3"/>
        <v>20.828682698473255</v>
      </c>
    </row>
    <row r="32" spans="4:13" x14ac:dyDescent="0.25">
      <c r="D32" s="54">
        <f t="shared" si="4"/>
        <v>19</v>
      </c>
      <c r="E32" s="55">
        <v>44562</v>
      </c>
      <c r="F32" s="54">
        <f t="shared" si="0"/>
        <v>0</v>
      </c>
      <c r="G32" s="15">
        <f t="shared" si="5"/>
        <v>20.828682698473255</v>
      </c>
      <c r="H32" s="15">
        <f t="shared" si="1"/>
        <v>0.33</v>
      </c>
      <c r="I32" s="15">
        <f t="shared" si="6"/>
        <v>0.75</v>
      </c>
      <c r="J32" s="15"/>
      <c r="K32" s="15"/>
      <c r="L32" s="15"/>
      <c r="M32" s="56">
        <f t="shared" si="3"/>
        <v>19.925726501410278</v>
      </c>
    </row>
    <row r="33" spans="4:13" x14ac:dyDescent="0.25">
      <c r="D33" s="54">
        <f t="shared" si="4"/>
        <v>20</v>
      </c>
      <c r="E33" s="55">
        <v>44593</v>
      </c>
      <c r="F33" s="54">
        <f t="shared" si="0"/>
        <v>0</v>
      </c>
      <c r="G33" s="15">
        <f t="shared" si="5"/>
        <v>19.925726501410278</v>
      </c>
      <c r="H33" s="15">
        <f t="shared" si="1"/>
        <v>0.33</v>
      </c>
      <c r="I33" s="15">
        <f t="shared" si="6"/>
        <v>0.75</v>
      </c>
      <c r="J33" s="15"/>
      <c r="K33" s="15"/>
      <c r="L33" s="15"/>
      <c r="M33" s="56">
        <f t="shared" si="3"/>
        <v>19.015095176672265</v>
      </c>
    </row>
    <row r="34" spans="4:13" x14ac:dyDescent="0.25">
      <c r="D34" s="54">
        <f t="shared" si="4"/>
        <v>21</v>
      </c>
      <c r="E34" s="55">
        <v>44621</v>
      </c>
      <c r="F34" s="54">
        <f t="shared" si="0"/>
        <v>0</v>
      </c>
      <c r="G34" s="15">
        <f t="shared" si="5"/>
        <v>19.015095176672265</v>
      </c>
      <c r="H34" s="15">
        <f t="shared" si="1"/>
        <v>0.33</v>
      </c>
      <c r="I34" s="15">
        <f t="shared" si="6"/>
        <v>0.75</v>
      </c>
      <c r="J34" s="15"/>
      <c r="K34" s="15"/>
      <c r="L34" s="15"/>
      <c r="M34" s="56">
        <f t="shared" si="3"/>
        <v>18.09672348567398</v>
      </c>
    </row>
    <row r="35" spans="4:13" x14ac:dyDescent="0.25">
      <c r="D35" s="54">
        <f t="shared" si="4"/>
        <v>22</v>
      </c>
      <c r="E35" s="55">
        <v>44652</v>
      </c>
      <c r="F35" s="54">
        <f t="shared" si="0"/>
        <v>0</v>
      </c>
      <c r="G35" s="15">
        <f t="shared" si="5"/>
        <v>18.09672348567398</v>
      </c>
      <c r="H35" s="15">
        <f t="shared" si="1"/>
        <v>0.33</v>
      </c>
      <c r="I35" s="15">
        <f t="shared" si="6"/>
        <v>0.75</v>
      </c>
      <c r="J35" s="15"/>
      <c r="K35" s="15"/>
      <c r="L35" s="15"/>
      <c r="M35" s="56">
        <f t="shared" si="3"/>
        <v>17.170545635302211</v>
      </c>
    </row>
    <row r="36" spans="4:13" x14ac:dyDescent="0.25">
      <c r="D36" s="54">
        <f t="shared" si="4"/>
        <v>23</v>
      </c>
      <c r="E36" s="55">
        <v>44682</v>
      </c>
      <c r="F36" s="54">
        <f t="shared" si="0"/>
        <v>0</v>
      </c>
      <c r="G36" s="15">
        <f t="shared" si="5"/>
        <v>17.170545635302211</v>
      </c>
      <c r="H36" s="15">
        <f t="shared" si="1"/>
        <v>0.33</v>
      </c>
      <c r="I36" s="15">
        <f>$B$7/12</f>
        <v>0.75</v>
      </c>
      <c r="J36" s="15"/>
      <c r="K36" s="15"/>
      <c r="L36" s="15"/>
      <c r="M36" s="56">
        <f t="shared" si="3"/>
        <v>16.23649527320228</v>
      </c>
    </row>
    <row r="37" spans="4:13" x14ac:dyDescent="0.25">
      <c r="D37" s="54">
        <f t="shared" si="4"/>
        <v>24</v>
      </c>
      <c r="E37" s="55">
        <v>44713</v>
      </c>
      <c r="F37" s="54">
        <f t="shared" si="0"/>
        <v>0</v>
      </c>
      <c r="G37" s="15">
        <f t="shared" si="5"/>
        <v>16.23649527320228</v>
      </c>
      <c r="H37" s="15">
        <f t="shared" si="1"/>
        <v>0.33</v>
      </c>
      <c r="I37" s="15">
        <f>$B$7/12</f>
        <v>0.75</v>
      </c>
      <c r="J37" s="15"/>
      <c r="K37" s="15"/>
      <c r="L37" s="15"/>
      <c r="M37" s="56">
        <f t="shared" si="3"/>
        <v>15.294505483024501</v>
      </c>
    </row>
    <row r="38" spans="4:13" x14ac:dyDescent="0.25">
      <c r="D38" s="54">
        <f t="shared" si="4"/>
        <v>25</v>
      </c>
      <c r="E38" s="55">
        <v>44743</v>
      </c>
      <c r="F38" s="54">
        <f t="shared" si="0"/>
        <v>1</v>
      </c>
      <c r="G38" s="15">
        <f t="shared" si="5"/>
        <v>15.294505483024501</v>
      </c>
      <c r="H38" s="15">
        <f t="shared" si="1"/>
        <v>0.33</v>
      </c>
      <c r="I38" s="15">
        <f>$B$8/12</f>
        <v>1</v>
      </c>
      <c r="J38" s="15"/>
      <c r="K38" s="15"/>
      <c r="L38" s="15"/>
      <c r="M38" s="56">
        <f t="shared" si="3"/>
        <v>14.094508779630209</v>
      </c>
    </row>
    <row r="39" spans="4:13" x14ac:dyDescent="0.25">
      <c r="D39" s="54">
        <f t="shared" si="4"/>
        <v>26</v>
      </c>
      <c r="E39" s="55">
        <v>44774</v>
      </c>
      <c r="F39" s="54">
        <f t="shared" si="0"/>
        <v>0</v>
      </c>
      <c r="G39" s="15">
        <f t="shared" si="5"/>
        <v>14.094508779630209</v>
      </c>
      <c r="H39" s="15">
        <f t="shared" si="1"/>
        <v>0.33</v>
      </c>
      <c r="I39" s="15">
        <f t="shared" ref="I39:I49" si="7">$B$8/12</f>
        <v>1</v>
      </c>
      <c r="J39" s="15"/>
      <c r="K39" s="15"/>
      <c r="L39" s="15"/>
      <c r="M39" s="56">
        <f t="shared" si="3"/>
        <v>12.884312104257065</v>
      </c>
    </row>
    <row r="40" spans="4:13" x14ac:dyDescent="0.25">
      <c r="D40" s="54">
        <f t="shared" si="4"/>
        <v>27</v>
      </c>
      <c r="E40" s="55">
        <v>44805</v>
      </c>
      <c r="F40" s="54">
        <f t="shared" si="0"/>
        <v>0</v>
      </c>
      <c r="G40" s="15">
        <f t="shared" si="5"/>
        <v>12.884312104257065</v>
      </c>
      <c r="H40" s="15">
        <f t="shared" si="1"/>
        <v>0.33</v>
      </c>
      <c r="I40" s="15">
        <f t="shared" si="7"/>
        <v>1</v>
      </c>
      <c r="J40" s="15"/>
      <c r="K40" s="15"/>
      <c r="L40" s="15"/>
      <c r="M40" s="56">
        <f t="shared" si="3"/>
        <v>11.66382875714325</v>
      </c>
    </row>
    <row r="41" spans="4:13" x14ac:dyDescent="0.25">
      <c r="D41" s="54">
        <f t="shared" si="4"/>
        <v>28</v>
      </c>
      <c r="E41" s="55">
        <v>44835</v>
      </c>
      <c r="F41" s="54">
        <f t="shared" si="0"/>
        <v>0</v>
      </c>
      <c r="G41" s="15">
        <f t="shared" si="5"/>
        <v>11.66382875714325</v>
      </c>
      <c r="H41" s="15">
        <f t="shared" si="1"/>
        <v>0.33</v>
      </c>
      <c r="I41" s="15">
        <f t="shared" si="7"/>
        <v>1</v>
      </c>
      <c r="J41" s="15"/>
      <c r="K41" s="15"/>
      <c r="L41" s="15"/>
      <c r="M41" s="56">
        <f t="shared" si="3"/>
        <v>10.432971301578966</v>
      </c>
    </row>
    <row r="42" spans="4:13" x14ac:dyDescent="0.25">
      <c r="D42" s="54">
        <f t="shared" si="4"/>
        <v>29</v>
      </c>
      <c r="E42" s="55">
        <v>44866</v>
      </c>
      <c r="F42" s="54">
        <f t="shared" si="0"/>
        <v>0</v>
      </c>
      <c r="G42" s="15">
        <f t="shared" si="5"/>
        <v>10.432971301578966</v>
      </c>
      <c r="H42" s="15">
        <f t="shared" si="1"/>
        <v>0.33</v>
      </c>
      <c r="I42" s="15">
        <f t="shared" si="7"/>
        <v>1</v>
      </c>
      <c r="J42" s="15"/>
      <c r="K42" s="15"/>
      <c r="L42" s="15"/>
      <c r="M42" s="56">
        <f t="shared" si="3"/>
        <v>9.1916515576423876</v>
      </c>
    </row>
    <row r="43" spans="4:13" x14ac:dyDescent="0.25">
      <c r="D43" s="54">
        <f t="shared" si="4"/>
        <v>30</v>
      </c>
      <c r="E43" s="55">
        <v>44896</v>
      </c>
      <c r="F43" s="54">
        <f t="shared" si="0"/>
        <v>0</v>
      </c>
      <c r="G43" s="15">
        <f t="shared" si="5"/>
        <v>9.1916515576423876</v>
      </c>
      <c r="H43" s="15">
        <f t="shared" si="1"/>
        <v>0.33</v>
      </c>
      <c r="I43" s="15">
        <f t="shared" si="7"/>
        <v>1</v>
      </c>
      <c r="J43" s="15"/>
      <c r="K43" s="15"/>
      <c r="L43" s="15"/>
      <c r="M43" s="56">
        <f t="shared" si="3"/>
        <v>7.9397805958823469</v>
      </c>
    </row>
    <row r="44" spans="4:13" x14ac:dyDescent="0.25">
      <c r="D44" s="54">
        <f t="shared" si="4"/>
        <v>31</v>
      </c>
      <c r="E44" s="55">
        <v>44927</v>
      </c>
      <c r="F44" s="54">
        <f t="shared" si="0"/>
        <v>0</v>
      </c>
      <c r="G44" s="15">
        <f t="shared" si="5"/>
        <v>7.9397805958823469</v>
      </c>
      <c r="H44" s="15">
        <f t="shared" si="1"/>
        <v>0.33</v>
      </c>
      <c r="I44" s="15">
        <f t="shared" si="7"/>
        <v>1</v>
      </c>
      <c r="J44" s="15"/>
      <c r="K44" s="15"/>
      <c r="L44" s="15"/>
      <c r="M44" s="56">
        <f t="shared" si="3"/>
        <v>6.6772687309473469</v>
      </c>
    </row>
    <row r="45" spans="4:13" x14ac:dyDescent="0.25">
      <c r="D45" s="54">
        <f t="shared" si="4"/>
        <v>32</v>
      </c>
      <c r="E45" s="55">
        <v>44958</v>
      </c>
      <c r="F45" s="54">
        <f t="shared" si="0"/>
        <v>0</v>
      </c>
      <c r="G45" s="15">
        <f t="shared" si="5"/>
        <v>6.6772687309473469</v>
      </c>
      <c r="H45" s="15">
        <f t="shared" si="1"/>
        <v>0.33</v>
      </c>
      <c r="I45" s="15">
        <f t="shared" si="7"/>
        <v>1</v>
      </c>
      <c r="J45" s="15"/>
      <c r="K45" s="15"/>
      <c r="L45" s="15"/>
      <c r="M45" s="56">
        <f t="shared" si="3"/>
        <v>5.4040255151603986</v>
      </c>
    </row>
    <row r="46" spans="4:13" x14ac:dyDescent="0.25">
      <c r="D46" s="54">
        <f t="shared" si="4"/>
        <v>33</v>
      </c>
      <c r="E46" s="55">
        <v>44986</v>
      </c>
      <c r="F46" s="54">
        <f t="shared" si="0"/>
        <v>0</v>
      </c>
      <c r="G46" s="15">
        <f t="shared" si="5"/>
        <v>5.4040255151603986</v>
      </c>
      <c r="H46" s="15">
        <f t="shared" si="1"/>
        <v>0.33</v>
      </c>
      <c r="I46" s="15">
        <f t="shared" si="7"/>
        <v>1</v>
      </c>
      <c r="J46" s="15"/>
      <c r="K46" s="15"/>
      <c r="L46" s="15"/>
      <c r="M46" s="56">
        <f t="shared" si="3"/>
        <v>4.1199597320392618</v>
      </c>
    </row>
    <row r="47" spans="4:13" x14ac:dyDescent="0.25">
      <c r="D47" s="54">
        <f t="shared" si="4"/>
        <v>34</v>
      </c>
      <c r="E47" s="55">
        <v>45017</v>
      </c>
      <c r="F47" s="54">
        <f t="shared" si="0"/>
        <v>0</v>
      </c>
      <c r="G47" s="15">
        <f t="shared" si="5"/>
        <v>4.1199597320392618</v>
      </c>
      <c r="H47" s="15">
        <f t="shared" si="1"/>
        <v>0.33</v>
      </c>
      <c r="I47" s="15">
        <f t="shared" si="7"/>
        <v>1</v>
      </c>
      <c r="J47" s="15"/>
      <c r="K47" s="15"/>
      <c r="L47" s="15"/>
      <c r="M47" s="56">
        <f t="shared" si="3"/>
        <v>2.8249793897615953</v>
      </c>
    </row>
    <row r="48" spans="4:13" x14ac:dyDescent="0.25">
      <c r="D48" s="54">
        <f t="shared" si="4"/>
        <v>35</v>
      </c>
      <c r="E48" s="55">
        <v>45047</v>
      </c>
      <c r="F48" s="54">
        <f t="shared" si="0"/>
        <v>0</v>
      </c>
      <c r="G48" s="15">
        <f t="shared" si="5"/>
        <v>2.8249793897615953</v>
      </c>
      <c r="H48" s="15">
        <f t="shared" si="1"/>
        <v>0.33</v>
      </c>
      <c r="I48" s="15">
        <f t="shared" si="7"/>
        <v>1</v>
      </c>
      <c r="J48" s="15"/>
      <c r="K48" s="15"/>
      <c r="L48" s="15"/>
      <c r="M48" s="56">
        <f t="shared" si="3"/>
        <v>1.5189917145745686</v>
      </c>
    </row>
    <row r="49" spans="4:13" x14ac:dyDescent="0.25">
      <c r="D49" s="54">
        <f t="shared" si="4"/>
        <v>36</v>
      </c>
      <c r="E49" s="55">
        <v>45078</v>
      </c>
      <c r="F49" s="54">
        <f t="shared" si="0"/>
        <v>0</v>
      </c>
      <c r="G49" s="15">
        <f t="shared" si="5"/>
        <v>1.5189917145745686</v>
      </c>
      <c r="H49" s="15">
        <f t="shared" si="1"/>
        <v>0.33</v>
      </c>
      <c r="I49" s="15">
        <f t="shared" si="7"/>
        <v>1</v>
      </c>
      <c r="J49" s="15"/>
      <c r="K49" s="15"/>
      <c r="L49" s="15"/>
      <c r="M49" s="56">
        <f t="shared" si="3"/>
        <v>0.20190314414845223</v>
      </c>
    </row>
    <row r="50" spans="4:13" x14ac:dyDescent="0.25">
      <c r="D50" s="54">
        <f t="shared" si="4"/>
        <v>37</v>
      </c>
      <c r="E50" s="55">
        <v>45108</v>
      </c>
      <c r="F50" s="54">
        <f t="shared" si="0"/>
        <v>1</v>
      </c>
      <c r="G50" s="15">
        <f t="shared" si="5"/>
        <v>0.20190314414845223</v>
      </c>
      <c r="H50" s="15">
        <f t="shared" si="1"/>
        <v>0.33</v>
      </c>
      <c r="I50" s="15"/>
      <c r="J50" s="15"/>
      <c r="K50" s="14">
        <f>F50*($B$10+(YEAR(E50)-2023)*$B$11)</f>
        <v>5.75</v>
      </c>
      <c r="L50" s="15"/>
      <c r="M50" s="56">
        <f t="shared" si="3"/>
        <v>5.623619320873714</v>
      </c>
    </row>
    <row r="51" spans="4:13" x14ac:dyDescent="0.25">
      <c r="D51" s="54">
        <f t="shared" si="4"/>
        <v>38</v>
      </c>
      <c r="E51" s="55">
        <v>45139</v>
      </c>
      <c r="F51" s="54">
        <f t="shared" si="0"/>
        <v>0</v>
      </c>
      <c r="G51" s="15">
        <f t="shared" si="5"/>
        <v>5.623619320873714</v>
      </c>
      <c r="H51" s="15">
        <f t="shared" si="1"/>
        <v>0.33</v>
      </c>
      <c r="I51" s="15"/>
      <c r="J51" s="15">
        <f>$B$9*(1-F51)</f>
        <v>0.05</v>
      </c>
      <c r="K51" s="14">
        <f t="shared" ref="K51:K114" si="8">F51*($B$10+(YEAR(E51)-2023)*$B$11)</f>
        <v>0</v>
      </c>
      <c r="L51" s="15"/>
      <c r="M51" s="56">
        <f t="shared" si="3"/>
        <v>5.2914200851011408</v>
      </c>
    </row>
    <row r="52" spans="4:13" x14ac:dyDescent="0.25">
      <c r="D52" s="54">
        <f t="shared" si="4"/>
        <v>39</v>
      </c>
      <c r="E52" s="55">
        <v>45170</v>
      </c>
      <c r="F52" s="54">
        <f t="shared" si="0"/>
        <v>0</v>
      </c>
      <c r="G52" s="15">
        <f t="shared" si="5"/>
        <v>5.2914200851011408</v>
      </c>
      <c r="H52" s="15">
        <f t="shared" si="1"/>
        <v>0.33</v>
      </c>
      <c r="I52" s="15"/>
      <c r="J52" s="15">
        <f t="shared" ref="J52:J115" si="9">$B$9*(1-F52)</f>
        <v>0.05</v>
      </c>
      <c r="K52" s="14">
        <f t="shared" si="8"/>
        <v>0</v>
      </c>
      <c r="L52" s="15"/>
      <c r="M52" s="56">
        <f t="shared" si="3"/>
        <v>4.9563971558245008</v>
      </c>
    </row>
    <row r="53" spans="4:13" x14ac:dyDescent="0.25">
      <c r="D53" s="54">
        <f t="shared" si="4"/>
        <v>40</v>
      </c>
      <c r="E53" s="55">
        <v>45200</v>
      </c>
      <c r="F53" s="54">
        <f t="shared" si="0"/>
        <v>0</v>
      </c>
      <c r="G53" s="15">
        <f t="shared" si="5"/>
        <v>4.9563971558245008</v>
      </c>
      <c r="H53" s="15">
        <f t="shared" si="1"/>
        <v>0.33</v>
      </c>
      <c r="I53" s="15"/>
      <c r="J53" s="15">
        <f t="shared" si="9"/>
        <v>0.05</v>
      </c>
      <c r="K53" s="14">
        <f t="shared" si="8"/>
        <v>0</v>
      </c>
      <c r="L53" s="15"/>
      <c r="M53" s="56">
        <f t="shared" si="3"/>
        <v>4.6185265316490085</v>
      </c>
    </row>
    <row r="54" spans="4:13" x14ac:dyDescent="0.25">
      <c r="D54" s="54">
        <f t="shared" si="4"/>
        <v>41</v>
      </c>
      <c r="E54" s="55">
        <v>45231</v>
      </c>
      <c r="F54" s="54">
        <f t="shared" si="0"/>
        <v>0</v>
      </c>
      <c r="G54" s="15">
        <f t="shared" si="5"/>
        <v>4.6185265316490085</v>
      </c>
      <c r="H54" s="15">
        <f t="shared" si="1"/>
        <v>0.33</v>
      </c>
      <c r="I54" s="15"/>
      <c r="J54" s="15">
        <f t="shared" si="9"/>
        <v>0.05</v>
      </c>
      <c r="K54" s="14">
        <f t="shared" si="8"/>
        <v>0</v>
      </c>
      <c r="L54" s="15"/>
      <c r="M54" s="56">
        <f t="shared" si="3"/>
        <v>4.2777840071680249</v>
      </c>
    </row>
    <row r="55" spans="4:13" x14ac:dyDescent="0.25">
      <c r="D55" s="54">
        <f t="shared" si="4"/>
        <v>42</v>
      </c>
      <c r="E55" s="55">
        <v>45261</v>
      </c>
      <c r="F55" s="54">
        <f t="shared" si="0"/>
        <v>0</v>
      </c>
      <c r="G55" s="15">
        <f t="shared" si="5"/>
        <v>4.2777840071680249</v>
      </c>
      <c r="H55" s="15">
        <f t="shared" si="1"/>
        <v>0.33</v>
      </c>
      <c r="I55" s="15"/>
      <c r="J55" s="15">
        <f t="shared" si="9"/>
        <v>0.05</v>
      </c>
      <c r="K55" s="14">
        <f t="shared" si="8"/>
        <v>0</v>
      </c>
      <c r="L55" s="15"/>
      <c r="M55" s="56">
        <f t="shared" si="3"/>
        <v>3.9341451712289528</v>
      </c>
    </row>
    <row r="56" spans="4:13" x14ac:dyDescent="0.25">
      <c r="D56" s="54">
        <f t="shared" si="4"/>
        <v>43</v>
      </c>
      <c r="E56" s="55">
        <v>45292</v>
      </c>
      <c r="F56" s="54">
        <f t="shared" si="0"/>
        <v>0</v>
      </c>
      <c r="G56" s="15">
        <f t="shared" si="5"/>
        <v>3.9341451712289528</v>
      </c>
      <c r="H56" s="15">
        <f t="shared" si="1"/>
        <v>0.33</v>
      </c>
      <c r="I56" s="15"/>
      <c r="J56" s="15">
        <f t="shared" si="9"/>
        <v>0.05</v>
      </c>
      <c r="K56" s="14">
        <f t="shared" si="8"/>
        <v>0</v>
      </c>
      <c r="L56" s="15"/>
      <c r="M56" s="56">
        <f t="shared" si="3"/>
        <v>3.5875854051843987</v>
      </c>
    </row>
    <row r="57" spans="4:13" x14ac:dyDescent="0.25">
      <c r="D57" s="54">
        <f t="shared" si="4"/>
        <v>44</v>
      </c>
      <c r="E57" s="55">
        <v>45323</v>
      </c>
      <c r="F57" s="54">
        <f t="shared" si="0"/>
        <v>0</v>
      </c>
      <c r="G57" s="15">
        <f t="shared" si="5"/>
        <v>3.5875854051843987</v>
      </c>
      <c r="H57" s="15">
        <f t="shared" si="1"/>
        <v>0.33</v>
      </c>
      <c r="I57" s="15"/>
      <c r="J57" s="15">
        <f t="shared" si="9"/>
        <v>0.05</v>
      </c>
      <c r="K57" s="14">
        <f t="shared" si="8"/>
        <v>0</v>
      </c>
      <c r="L57" s="15"/>
      <c r="M57" s="56">
        <f t="shared" si="3"/>
        <v>3.2380798811284661</v>
      </c>
    </row>
    <row r="58" spans="4:13" x14ac:dyDescent="0.25">
      <c r="D58" s="54">
        <f t="shared" si="4"/>
        <v>45</v>
      </c>
      <c r="E58" s="55">
        <v>45352</v>
      </c>
      <c r="F58" s="54">
        <f t="shared" si="0"/>
        <v>0</v>
      </c>
      <c r="G58" s="15">
        <f t="shared" si="5"/>
        <v>3.2380798811284661</v>
      </c>
      <c r="H58" s="15">
        <f t="shared" si="1"/>
        <v>0.33</v>
      </c>
      <c r="I58" s="15"/>
      <c r="J58" s="15">
        <f t="shared" si="9"/>
        <v>0.05</v>
      </c>
      <c r="K58" s="14">
        <f t="shared" si="8"/>
        <v>0</v>
      </c>
      <c r="L58" s="15"/>
      <c r="M58" s="56">
        <f t="shared" si="3"/>
        <v>2.8856035601180579</v>
      </c>
    </row>
    <row r="59" spans="4:13" x14ac:dyDescent="0.25">
      <c r="D59" s="54">
        <f t="shared" si="4"/>
        <v>46</v>
      </c>
      <c r="E59" s="55">
        <v>45383</v>
      </c>
      <c r="F59" s="54">
        <f t="shared" si="0"/>
        <v>0</v>
      </c>
      <c r="G59" s="15">
        <f t="shared" si="5"/>
        <v>2.8856035601180579</v>
      </c>
      <c r="H59" s="15">
        <f t="shared" si="1"/>
        <v>0.33</v>
      </c>
      <c r="I59" s="15"/>
      <c r="J59" s="15">
        <f t="shared" si="9"/>
        <v>0.05</v>
      </c>
      <c r="K59" s="14">
        <f t="shared" si="8"/>
        <v>0</v>
      </c>
      <c r="L59" s="15"/>
      <c r="M59" s="56">
        <f t="shared" si="3"/>
        <v>2.5301311903790613</v>
      </c>
    </row>
    <row r="60" spans="4:13" x14ac:dyDescent="0.25">
      <c r="D60" s="54">
        <f t="shared" si="4"/>
        <v>47</v>
      </c>
      <c r="E60" s="55">
        <v>45413</v>
      </c>
      <c r="F60" s="54">
        <f t="shared" si="0"/>
        <v>0</v>
      </c>
      <c r="G60" s="15">
        <f t="shared" si="5"/>
        <v>2.5301311903790613</v>
      </c>
      <c r="H60" s="15">
        <f t="shared" si="1"/>
        <v>0.33</v>
      </c>
      <c r="I60" s="15"/>
      <c r="J60" s="15">
        <f t="shared" si="9"/>
        <v>0.05</v>
      </c>
      <c r="K60" s="14">
        <f t="shared" si="8"/>
        <v>0</v>
      </c>
      <c r="L60" s="15"/>
      <c r="M60" s="56">
        <f t="shared" si="3"/>
        <v>2.1716373054972835</v>
      </c>
    </row>
    <row r="61" spans="4:13" x14ac:dyDescent="0.25">
      <c r="D61" s="54">
        <f t="shared" si="4"/>
        <v>48</v>
      </c>
      <c r="E61" s="55">
        <v>45444</v>
      </c>
      <c r="F61" s="54">
        <f t="shared" si="0"/>
        <v>0</v>
      </c>
      <c r="G61" s="15">
        <f t="shared" si="5"/>
        <v>2.1716373054972835</v>
      </c>
      <c r="H61" s="15">
        <f t="shared" si="1"/>
        <v>0.33</v>
      </c>
      <c r="I61" s="15"/>
      <c r="J61" s="15">
        <f t="shared" si="9"/>
        <v>0.05</v>
      </c>
      <c r="K61" s="14">
        <f t="shared" si="8"/>
        <v>0</v>
      </c>
      <c r="L61" s="15"/>
      <c r="M61" s="56">
        <f t="shared" si="3"/>
        <v>1.8100962225940103</v>
      </c>
    </row>
    <row r="62" spans="4:13" x14ac:dyDescent="0.25">
      <c r="D62" s="54">
        <f t="shared" si="4"/>
        <v>49</v>
      </c>
      <c r="E62" s="55">
        <v>45474</v>
      </c>
      <c r="F62" s="54">
        <f t="shared" si="0"/>
        <v>1</v>
      </c>
      <c r="G62" s="15">
        <f t="shared" si="5"/>
        <v>1.8100962225940103</v>
      </c>
      <c r="H62" s="15">
        <f t="shared" si="1"/>
        <v>0.33</v>
      </c>
      <c r="I62" s="15"/>
      <c r="J62" s="15">
        <f t="shared" si="9"/>
        <v>0</v>
      </c>
      <c r="K62" s="14">
        <f t="shared" si="8"/>
        <v>6.5</v>
      </c>
      <c r="L62" s="15"/>
      <c r="M62" s="56">
        <f t="shared" si="3"/>
        <v>7.9954820404860589</v>
      </c>
    </row>
    <row r="63" spans="4:13" x14ac:dyDescent="0.25">
      <c r="D63" s="54">
        <f t="shared" si="4"/>
        <v>50</v>
      </c>
      <c r="E63" s="55">
        <v>45505</v>
      </c>
      <c r="F63" s="54">
        <f t="shared" si="0"/>
        <v>0</v>
      </c>
      <c r="G63" s="15">
        <f t="shared" si="5"/>
        <v>7.9954820404860589</v>
      </c>
      <c r="H63" s="15">
        <f t="shared" si="1"/>
        <v>0.33</v>
      </c>
      <c r="I63" s="15"/>
      <c r="J63" s="15">
        <f t="shared" si="9"/>
        <v>0.05</v>
      </c>
      <c r="K63" s="14">
        <f t="shared" si="8"/>
        <v>0</v>
      </c>
      <c r="L63" s="15"/>
      <c r="M63" s="56">
        <f t="shared" si="3"/>
        <v>7.68344363783019</v>
      </c>
    </row>
    <row r="64" spans="4:13" x14ac:dyDescent="0.25">
      <c r="D64" s="54">
        <f t="shared" si="4"/>
        <v>51</v>
      </c>
      <c r="E64" s="55">
        <v>45536</v>
      </c>
      <c r="F64" s="54">
        <f t="shared" si="0"/>
        <v>0</v>
      </c>
      <c r="G64" s="15">
        <f t="shared" si="5"/>
        <v>7.68344363783019</v>
      </c>
      <c r="H64" s="15">
        <f t="shared" si="1"/>
        <v>0.33</v>
      </c>
      <c r="I64" s="15"/>
      <c r="J64" s="15">
        <f t="shared" si="9"/>
        <v>0.05</v>
      </c>
      <c r="K64" s="14">
        <f t="shared" si="8"/>
        <v>0</v>
      </c>
      <c r="L64" s="15"/>
      <c r="M64" s="56">
        <f t="shared" si="3"/>
        <v>7.3687529087517465</v>
      </c>
    </row>
    <row r="65" spans="4:13" x14ac:dyDescent="0.25">
      <c r="D65" s="54">
        <f t="shared" si="4"/>
        <v>52</v>
      </c>
      <c r="E65" s="55">
        <v>45566</v>
      </c>
      <c r="F65" s="54">
        <f t="shared" si="0"/>
        <v>0</v>
      </c>
      <c r="G65" s="15">
        <f t="shared" si="5"/>
        <v>7.3687529087517465</v>
      </c>
      <c r="H65" s="15">
        <f t="shared" si="1"/>
        <v>0.33</v>
      </c>
      <c r="I65" s="15"/>
      <c r="J65" s="15">
        <f t="shared" si="9"/>
        <v>0.05</v>
      </c>
      <c r="K65" s="14">
        <f t="shared" si="8"/>
        <v>0</v>
      </c>
      <c r="L65" s="15"/>
      <c r="M65" s="56">
        <f t="shared" si="3"/>
        <v>7.0513873084761363</v>
      </c>
    </row>
    <row r="66" spans="4:13" x14ac:dyDescent="0.25">
      <c r="D66" s="54">
        <f t="shared" si="4"/>
        <v>53</v>
      </c>
      <c r="E66" s="55">
        <v>45597</v>
      </c>
      <c r="F66" s="54">
        <f t="shared" si="0"/>
        <v>0</v>
      </c>
      <c r="G66" s="15">
        <f t="shared" si="5"/>
        <v>7.0513873084761363</v>
      </c>
      <c r="H66" s="15">
        <f t="shared" si="1"/>
        <v>0.33</v>
      </c>
      <c r="I66" s="15"/>
      <c r="J66" s="15">
        <f t="shared" si="9"/>
        <v>0.05</v>
      </c>
      <c r="K66" s="14">
        <f t="shared" si="8"/>
        <v>0</v>
      </c>
      <c r="L66" s="15"/>
      <c r="M66" s="56">
        <f t="shared" si="3"/>
        <v>6.731324100598183</v>
      </c>
    </row>
    <row r="67" spans="4:13" x14ac:dyDescent="0.25">
      <c r="D67" s="54">
        <f t="shared" si="4"/>
        <v>54</v>
      </c>
      <c r="E67" s="55">
        <v>45627</v>
      </c>
      <c r="F67" s="54">
        <f t="shared" si="0"/>
        <v>0</v>
      </c>
      <c r="G67" s="15">
        <f t="shared" si="5"/>
        <v>6.731324100598183</v>
      </c>
      <c r="H67" s="15">
        <f t="shared" si="1"/>
        <v>0.33</v>
      </c>
      <c r="I67" s="15"/>
      <c r="J67" s="15">
        <f t="shared" si="9"/>
        <v>0.05</v>
      </c>
      <c r="K67" s="14">
        <f t="shared" si="8"/>
        <v>0</v>
      </c>
      <c r="L67" s="15"/>
      <c r="M67" s="56">
        <f t="shared" si="3"/>
        <v>6.4085403554532672</v>
      </c>
    </row>
    <row r="68" spans="4:13" x14ac:dyDescent="0.25">
      <c r="D68" s="54">
        <f t="shared" si="4"/>
        <v>55</v>
      </c>
      <c r="E68" s="55">
        <v>45658</v>
      </c>
      <c r="F68" s="54">
        <f t="shared" si="0"/>
        <v>0</v>
      </c>
      <c r="G68" s="15">
        <f t="shared" si="5"/>
        <v>6.4085403554532672</v>
      </c>
      <c r="H68" s="15">
        <f t="shared" si="1"/>
        <v>0.33</v>
      </c>
      <c r="I68" s="15"/>
      <c r="J68" s="15">
        <f t="shared" si="9"/>
        <v>0.05</v>
      </c>
      <c r="K68" s="14">
        <f t="shared" si="8"/>
        <v>0</v>
      </c>
      <c r="L68" s="15"/>
      <c r="M68" s="56">
        <f t="shared" si="3"/>
        <v>6.0830129484746198</v>
      </c>
    </row>
    <row r="69" spans="4:13" x14ac:dyDescent="0.25">
      <c r="D69" s="54">
        <f t="shared" si="4"/>
        <v>56</v>
      </c>
      <c r="E69" s="55">
        <v>45689</v>
      </c>
      <c r="F69" s="54">
        <f t="shared" si="0"/>
        <v>0</v>
      </c>
      <c r="G69" s="15">
        <f t="shared" si="5"/>
        <v>6.0830129484746198</v>
      </c>
      <c r="H69" s="15">
        <f t="shared" si="1"/>
        <v>0.33</v>
      </c>
      <c r="I69" s="15"/>
      <c r="J69" s="15">
        <f t="shared" si="9"/>
        <v>0.05</v>
      </c>
      <c r="K69" s="14">
        <f t="shared" si="8"/>
        <v>0</v>
      </c>
      <c r="L69" s="15"/>
      <c r="M69" s="56">
        <f t="shared" si="3"/>
        <v>5.7547185585366538</v>
      </c>
    </row>
    <row r="70" spans="4:13" x14ac:dyDescent="0.25">
      <c r="D70" s="54">
        <f t="shared" si="4"/>
        <v>57</v>
      </c>
      <c r="E70" s="55">
        <v>45717</v>
      </c>
      <c r="F70" s="54">
        <f t="shared" si="0"/>
        <v>0</v>
      </c>
      <c r="G70" s="15">
        <f t="shared" si="5"/>
        <v>5.7547185585366538</v>
      </c>
      <c r="H70" s="15">
        <f t="shared" si="1"/>
        <v>0.33</v>
      </c>
      <c r="I70" s="15"/>
      <c r="J70" s="15">
        <f t="shared" si="9"/>
        <v>0.05</v>
      </c>
      <c r="K70" s="14">
        <f t="shared" si="8"/>
        <v>0</v>
      </c>
      <c r="L70" s="15"/>
      <c r="M70" s="56">
        <f t="shared" si="3"/>
        <v>5.4236336662842151</v>
      </c>
    </row>
    <row r="71" spans="4:13" x14ac:dyDescent="0.25">
      <c r="D71" s="54">
        <f t="shared" si="4"/>
        <v>58</v>
      </c>
      <c r="E71" s="55">
        <v>45748</v>
      </c>
      <c r="F71" s="54">
        <f t="shared" si="0"/>
        <v>0</v>
      </c>
      <c r="G71" s="15">
        <f t="shared" si="5"/>
        <v>5.4236336662842151</v>
      </c>
      <c r="H71" s="15">
        <f t="shared" si="1"/>
        <v>0.33</v>
      </c>
      <c r="I71" s="15"/>
      <c r="J71" s="15">
        <f t="shared" si="9"/>
        <v>0.05</v>
      </c>
      <c r="K71" s="14">
        <f t="shared" si="8"/>
        <v>0</v>
      </c>
      <c r="L71" s="15"/>
      <c r="M71" s="56">
        <f t="shared" si="3"/>
        <v>5.0897345524476307</v>
      </c>
    </row>
    <row r="72" spans="4:13" x14ac:dyDescent="0.25">
      <c r="D72" s="54">
        <f t="shared" si="4"/>
        <v>59</v>
      </c>
      <c r="E72" s="55">
        <v>45778</v>
      </c>
      <c r="F72" s="54">
        <f t="shared" si="0"/>
        <v>0</v>
      </c>
      <c r="G72" s="15">
        <f t="shared" si="5"/>
        <v>5.0897345524476307</v>
      </c>
      <c r="H72" s="15">
        <f t="shared" si="1"/>
        <v>0.33</v>
      </c>
      <c r="I72" s="15"/>
      <c r="J72" s="15">
        <f t="shared" si="9"/>
        <v>0.05</v>
      </c>
      <c r="K72" s="14">
        <f t="shared" si="8"/>
        <v>0</v>
      </c>
      <c r="L72" s="15"/>
      <c r="M72" s="56">
        <f t="shared" si="3"/>
        <v>4.7529972961434357</v>
      </c>
    </row>
    <row r="73" spans="4:13" x14ac:dyDescent="0.25">
      <c r="D73" s="54">
        <f t="shared" si="4"/>
        <v>60</v>
      </c>
      <c r="E73" s="55">
        <v>45809</v>
      </c>
      <c r="F73" s="54">
        <f t="shared" si="0"/>
        <v>0</v>
      </c>
      <c r="G73" s="15">
        <f t="shared" si="5"/>
        <v>4.7529972961434357</v>
      </c>
      <c r="H73" s="15">
        <f t="shared" si="1"/>
        <v>0.33</v>
      </c>
      <c r="I73" s="15"/>
      <c r="J73" s="15">
        <f t="shared" si="9"/>
        <v>0.05</v>
      </c>
      <c r="K73" s="14">
        <f t="shared" si="8"/>
        <v>0</v>
      </c>
      <c r="L73" s="15"/>
      <c r="M73" s="56">
        <f t="shared" si="3"/>
        <v>4.4133977731606544</v>
      </c>
    </row>
    <row r="74" spans="4:13" x14ac:dyDescent="0.25">
      <c r="D74" s="54">
        <f t="shared" si="4"/>
        <v>61</v>
      </c>
      <c r="E74" s="55">
        <v>45839</v>
      </c>
      <c r="F74" s="54">
        <f t="shared" si="0"/>
        <v>1</v>
      </c>
      <c r="G74" s="15">
        <f t="shared" si="5"/>
        <v>4.4133977731606544</v>
      </c>
      <c r="H74" s="15">
        <f t="shared" si="1"/>
        <v>0.33</v>
      </c>
      <c r="I74" s="15"/>
      <c r="J74" s="15">
        <f t="shared" si="9"/>
        <v>0</v>
      </c>
      <c r="K74" s="14">
        <f t="shared" si="8"/>
        <v>7.25</v>
      </c>
      <c r="L74" s="15"/>
      <c r="M74" s="56">
        <f t="shared" si="3"/>
        <v>11.370911654232518</v>
      </c>
    </row>
    <row r="75" spans="4:13" x14ac:dyDescent="0.25">
      <c r="D75" s="54">
        <f t="shared" si="4"/>
        <v>62</v>
      </c>
      <c r="E75" s="55">
        <v>45870</v>
      </c>
      <c r="F75" s="54">
        <f t="shared" si="0"/>
        <v>0</v>
      </c>
      <c r="G75" s="15">
        <f t="shared" si="5"/>
        <v>11.370911654232518</v>
      </c>
      <c r="H75" s="15">
        <f t="shared" si="1"/>
        <v>0.33</v>
      </c>
      <c r="I75" s="15"/>
      <c r="J75" s="15">
        <f t="shared" si="9"/>
        <v>0.05</v>
      </c>
      <c r="K75" s="14">
        <f t="shared" si="8"/>
        <v>0</v>
      </c>
      <c r="L75" s="15"/>
      <c r="M75" s="56">
        <f t="shared" si="3"/>
        <v>11.087564403293493</v>
      </c>
    </row>
    <row r="76" spans="4:13" x14ac:dyDescent="0.25">
      <c r="D76" s="54">
        <f t="shared" si="4"/>
        <v>63</v>
      </c>
      <c r="E76" s="55">
        <v>45901</v>
      </c>
      <c r="F76" s="54">
        <f t="shared" si="0"/>
        <v>0</v>
      </c>
      <c r="G76" s="15">
        <f t="shared" si="5"/>
        <v>11.087564403293493</v>
      </c>
      <c r="H76" s="15">
        <f t="shared" si="1"/>
        <v>0.33</v>
      </c>
      <c r="I76" s="15"/>
      <c r="J76" s="15">
        <f t="shared" si="9"/>
        <v>0.05</v>
      </c>
      <c r="K76" s="14">
        <f t="shared" si="8"/>
        <v>0</v>
      </c>
      <c r="L76" s="15"/>
      <c r="M76" s="56">
        <f t="shared" si="3"/>
        <v>10.801808700721487</v>
      </c>
    </row>
    <row r="77" spans="4:13" x14ac:dyDescent="0.25">
      <c r="D77" s="54">
        <f t="shared" si="4"/>
        <v>64</v>
      </c>
      <c r="E77" s="55">
        <v>45931</v>
      </c>
      <c r="F77" s="54">
        <f t="shared" si="0"/>
        <v>0</v>
      </c>
      <c r="G77" s="15">
        <f t="shared" si="5"/>
        <v>10.801808700721487</v>
      </c>
      <c r="H77" s="15">
        <f t="shared" si="1"/>
        <v>0.33</v>
      </c>
      <c r="I77" s="15"/>
      <c r="J77" s="15">
        <f t="shared" si="9"/>
        <v>0.05</v>
      </c>
      <c r="K77" s="14">
        <f t="shared" si="8"/>
        <v>0</v>
      </c>
      <c r="L77" s="15"/>
      <c r="M77" s="56">
        <f t="shared" si="3"/>
        <v>10.513624074677619</v>
      </c>
    </row>
    <row r="78" spans="4:13" x14ac:dyDescent="0.25">
      <c r="D78" s="54">
        <f t="shared" si="4"/>
        <v>65</v>
      </c>
      <c r="E78" s="55">
        <v>45962</v>
      </c>
      <c r="F78" s="54">
        <f t="shared" si="0"/>
        <v>0</v>
      </c>
      <c r="G78" s="15">
        <f t="shared" si="5"/>
        <v>10.513624074677619</v>
      </c>
      <c r="H78" s="15">
        <f t="shared" si="1"/>
        <v>0.33</v>
      </c>
      <c r="I78" s="15"/>
      <c r="J78" s="15">
        <f t="shared" si="9"/>
        <v>0.05</v>
      </c>
      <c r="K78" s="14">
        <f t="shared" si="8"/>
        <v>0</v>
      </c>
      <c r="L78" s="15"/>
      <c r="M78" s="56">
        <f t="shared" si="3"/>
        <v>10.222989879312378</v>
      </c>
    </row>
    <row r="79" spans="4:13" x14ac:dyDescent="0.25">
      <c r="D79" s="54">
        <f t="shared" si="4"/>
        <v>66</v>
      </c>
      <c r="E79" s="55">
        <v>45992</v>
      </c>
      <c r="F79" s="54">
        <f t="shared" ref="F79:F133" si="10">IF(MONTH(E79)=7,1,0)</f>
        <v>0</v>
      </c>
      <c r="G79" s="15">
        <f t="shared" si="5"/>
        <v>10.222989879312378</v>
      </c>
      <c r="H79" s="15">
        <f t="shared" ref="H79:H134" si="11">$B$5*$B$3</f>
        <v>0.33</v>
      </c>
      <c r="I79" s="15"/>
      <c r="J79" s="15">
        <f t="shared" si="9"/>
        <v>0.05</v>
      </c>
      <c r="K79" s="14">
        <f t="shared" si="8"/>
        <v>0</v>
      </c>
      <c r="L79" s="15"/>
      <c r="M79" s="56">
        <f t="shared" ref="M79:M133" si="12">G79*(1+$B$4)-H79-I79-J79+K79-L79</f>
        <v>9.9298852932865316</v>
      </c>
    </row>
    <row r="80" spans="4:13" x14ac:dyDescent="0.25">
      <c r="D80" s="54">
        <f t="shared" ref="D80:D133" si="13">D79+1</f>
        <v>67</v>
      </c>
      <c r="E80" s="55">
        <v>46023</v>
      </c>
      <c r="F80" s="54">
        <f t="shared" si="10"/>
        <v>0</v>
      </c>
      <c r="G80" s="15">
        <f t="shared" ref="G80:G133" si="14">M79</f>
        <v>9.9298852932865316</v>
      </c>
      <c r="H80" s="15">
        <f t="shared" si="11"/>
        <v>0.33</v>
      </c>
      <c r="I80" s="15"/>
      <c r="J80" s="15">
        <f t="shared" si="9"/>
        <v>0.05</v>
      </c>
      <c r="K80" s="14">
        <f t="shared" si="8"/>
        <v>0</v>
      </c>
      <c r="L80" s="15"/>
      <c r="M80" s="56">
        <f t="shared" si="12"/>
        <v>9.6342893182794658</v>
      </c>
    </row>
    <row r="81" spans="4:13" x14ac:dyDescent="0.25">
      <c r="D81" s="54">
        <f t="shared" si="13"/>
        <v>68</v>
      </c>
      <c r="E81" s="55">
        <v>46054</v>
      </c>
      <c r="F81" s="54">
        <f t="shared" si="10"/>
        <v>0</v>
      </c>
      <c r="G81" s="15">
        <f t="shared" si="14"/>
        <v>9.6342893182794658</v>
      </c>
      <c r="H81" s="15">
        <f t="shared" si="11"/>
        <v>0.33</v>
      </c>
      <c r="I81" s="15"/>
      <c r="J81" s="15">
        <f t="shared" si="9"/>
        <v>0.05</v>
      </c>
      <c r="K81" s="14">
        <f t="shared" si="8"/>
        <v>0</v>
      </c>
      <c r="L81" s="15"/>
      <c r="M81" s="56">
        <f t="shared" si="12"/>
        <v>9.3361807774848398</v>
      </c>
    </row>
    <row r="82" spans="4:13" x14ac:dyDescent="0.25">
      <c r="D82" s="54">
        <f t="shared" si="13"/>
        <v>69</v>
      </c>
      <c r="E82" s="55">
        <v>46082</v>
      </c>
      <c r="F82" s="54">
        <f t="shared" si="10"/>
        <v>0</v>
      </c>
      <c r="G82" s="15">
        <f t="shared" si="14"/>
        <v>9.3361807774848398</v>
      </c>
      <c r="H82" s="15">
        <f t="shared" si="11"/>
        <v>0.33</v>
      </c>
      <c r="I82" s="15"/>
      <c r="J82" s="15">
        <f t="shared" si="9"/>
        <v>0.05</v>
      </c>
      <c r="K82" s="14">
        <f t="shared" si="8"/>
        <v>0</v>
      </c>
      <c r="L82" s="15"/>
      <c r="M82" s="56">
        <f t="shared" si="12"/>
        <v>9.0355383140934595</v>
      </c>
    </row>
    <row r="83" spans="4:13" x14ac:dyDescent="0.25">
      <c r="D83" s="54">
        <f t="shared" si="13"/>
        <v>70</v>
      </c>
      <c r="E83" s="55">
        <v>46113</v>
      </c>
      <c r="F83" s="54">
        <f t="shared" si="10"/>
        <v>0</v>
      </c>
      <c r="G83" s="15">
        <f t="shared" si="14"/>
        <v>9.0355383140934595</v>
      </c>
      <c r="H83" s="15">
        <f t="shared" si="11"/>
        <v>0.33</v>
      </c>
      <c r="I83" s="15"/>
      <c r="J83" s="15">
        <f t="shared" si="9"/>
        <v>0.05</v>
      </c>
      <c r="K83" s="14">
        <f t="shared" si="8"/>
        <v>0</v>
      </c>
      <c r="L83" s="15"/>
      <c r="M83" s="56">
        <f t="shared" si="12"/>
        <v>8.7323403897632534</v>
      </c>
    </row>
    <row r="84" spans="4:13" x14ac:dyDescent="0.25">
      <c r="D84" s="54">
        <f t="shared" si="13"/>
        <v>71</v>
      </c>
      <c r="E84" s="55">
        <v>46143</v>
      </c>
      <c r="F84" s="54">
        <f t="shared" si="10"/>
        <v>0</v>
      </c>
      <c r="G84" s="15">
        <f t="shared" si="14"/>
        <v>8.7323403897632534</v>
      </c>
      <c r="H84" s="15">
        <f t="shared" si="11"/>
        <v>0.33</v>
      </c>
      <c r="I84" s="15"/>
      <c r="J84" s="15">
        <f t="shared" si="9"/>
        <v>0.05</v>
      </c>
      <c r="K84" s="14">
        <f t="shared" si="8"/>
        <v>0</v>
      </c>
      <c r="L84" s="15"/>
      <c r="M84" s="56">
        <f t="shared" si="12"/>
        <v>8.4265652830762399</v>
      </c>
    </row>
    <row r="85" spans="4:13" x14ac:dyDescent="0.25">
      <c r="D85" s="54">
        <f t="shared" si="13"/>
        <v>72</v>
      </c>
      <c r="E85" s="55">
        <v>46174</v>
      </c>
      <c r="F85" s="54">
        <f t="shared" si="10"/>
        <v>0</v>
      </c>
      <c r="G85" s="15">
        <f t="shared" si="14"/>
        <v>8.4265652830762399</v>
      </c>
      <c r="H85" s="15">
        <f t="shared" si="11"/>
        <v>0.33</v>
      </c>
      <c r="I85" s="15"/>
      <c r="J85" s="15">
        <f t="shared" si="9"/>
        <v>0.05</v>
      </c>
      <c r="K85" s="14">
        <f t="shared" si="8"/>
        <v>0</v>
      </c>
      <c r="L85" s="15"/>
      <c r="M85" s="56">
        <f t="shared" si="12"/>
        <v>8.1181910879823871</v>
      </c>
    </row>
    <row r="86" spans="4:13" x14ac:dyDescent="0.25">
      <c r="D86" s="54">
        <f t="shared" si="13"/>
        <v>73</v>
      </c>
      <c r="E86" s="55">
        <v>46204</v>
      </c>
      <c r="F86" s="54">
        <f t="shared" si="10"/>
        <v>1</v>
      </c>
      <c r="G86" s="15">
        <f t="shared" si="14"/>
        <v>8.1181910879823871</v>
      </c>
      <c r="H86" s="15">
        <f t="shared" si="11"/>
        <v>0.33</v>
      </c>
      <c r="I86" s="15"/>
      <c r="J86" s="15">
        <f t="shared" si="9"/>
        <v>0</v>
      </c>
      <c r="K86" s="14">
        <f t="shared" si="8"/>
        <v>8</v>
      </c>
      <c r="L86" s="15"/>
      <c r="M86" s="56">
        <f t="shared" si="12"/>
        <v>15.857195712230236</v>
      </c>
    </row>
    <row r="87" spans="4:13" x14ac:dyDescent="0.25">
      <c r="D87" s="54">
        <f t="shared" si="13"/>
        <v>74</v>
      </c>
      <c r="E87" s="55">
        <v>46235</v>
      </c>
      <c r="F87" s="54">
        <f t="shared" si="10"/>
        <v>0</v>
      </c>
      <c r="G87" s="15">
        <f t="shared" si="14"/>
        <v>15.857195712230236</v>
      </c>
      <c r="H87" s="15">
        <f t="shared" si="11"/>
        <v>0.33</v>
      </c>
      <c r="I87" s="15"/>
      <c r="J87" s="15">
        <f t="shared" si="9"/>
        <v>0.05</v>
      </c>
      <c r="K87" s="14">
        <f t="shared" si="8"/>
        <v>0</v>
      </c>
      <c r="L87" s="15"/>
      <c r="M87" s="56">
        <f t="shared" si="12"/>
        <v>15.611981875784192</v>
      </c>
    </row>
    <row r="88" spans="4:13" x14ac:dyDescent="0.25">
      <c r="D88" s="54">
        <f t="shared" si="13"/>
        <v>75</v>
      </c>
      <c r="E88" s="55">
        <v>46266</v>
      </c>
      <c r="F88" s="54">
        <f t="shared" si="10"/>
        <v>0</v>
      </c>
      <c r="G88" s="15">
        <f t="shared" si="14"/>
        <v>15.611981875784192</v>
      </c>
      <c r="H88" s="15">
        <f t="shared" si="11"/>
        <v>0.33</v>
      </c>
      <c r="I88" s="15"/>
      <c r="J88" s="15">
        <f t="shared" si="9"/>
        <v>0.05</v>
      </c>
      <c r="K88" s="14">
        <f t="shared" si="8"/>
        <v>0</v>
      </c>
      <c r="L88" s="15"/>
      <c r="M88" s="56">
        <f t="shared" si="12"/>
        <v>15.364683721728357</v>
      </c>
    </row>
    <row r="89" spans="4:13" x14ac:dyDescent="0.25">
      <c r="D89" s="54">
        <f t="shared" si="13"/>
        <v>76</v>
      </c>
      <c r="E89" s="55">
        <v>46296</v>
      </c>
      <c r="F89" s="54">
        <f t="shared" si="10"/>
        <v>0</v>
      </c>
      <c r="G89" s="15">
        <f t="shared" si="14"/>
        <v>15.364683721728357</v>
      </c>
      <c r="H89" s="15">
        <f t="shared" si="11"/>
        <v>0.33</v>
      </c>
      <c r="I89" s="15"/>
      <c r="J89" s="15">
        <f t="shared" si="9"/>
        <v>0.05</v>
      </c>
      <c r="K89" s="14">
        <f t="shared" si="8"/>
        <v>0</v>
      </c>
      <c r="L89" s="15"/>
      <c r="M89" s="56">
        <f t="shared" si="12"/>
        <v>15.115283533363046</v>
      </c>
    </row>
    <row r="90" spans="4:13" x14ac:dyDescent="0.25">
      <c r="D90" s="54">
        <f t="shared" si="13"/>
        <v>77</v>
      </c>
      <c r="E90" s="55">
        <v>46327</v>
      </c>
      <c r="F90" s="54">
        <f t="shared" si="10"/>
        <v>0</v>
      </c>
      <c r="G90" s="15">
        <f t="shared" si="14"/>
        <v>15.115283533363046</v>
      </c>
      <c r="H90" s="15">
        <f t="shared" si="11"/>
        <v>0.33</v>
      </c>
      <c r="I90" s="15"/>
      <c r="J90" s="15">
        <f t="shared" si="9"/>
        <v>0.05</v>
      </c>
      <c r="K90" s="14">
        <f t="shared" si="8"/>
        <v>0</v>
      </c>
      <c r="L90" s="15"/>
      <c r="M90" s="56">
        <f t="shared" si="12"/>
        <v>14.86376344339663</v>
      </c>
    </row>
    <row r="91" spans="4:13" x14ac:dyDescent="0.25">
      <c r="D91" s="54">
        <f t="shared" si="13"/>
        <v>78</v>
      </c>
      <c r="E91" s="55">
        <v>46357</v>
      </c>
      <c r="F91" s="54">
        <f t="shared" si="10"/>
        <v>0</v>
      </c>
      <c r="G91" s="15">
        <f t="shared" si="14"/>
        <v>14.86376344339663</v>
      </c>
      <c r="H91" s="15">
        <f t="shared" si="11"/>
        <v>0.33</v>
      </c>
      <c r="I91" s="15"/>
      <c r="J91" s="15">
        <f t="shared" si="9"/>
        <v>0.05</v>
      </c>
      <c r="K91" s="14">
        <f t="shared" si="8"/>
        <v>0</v>
      </c>
      <c r="L91" s="15"/>
      <c r="M91" s="56">
        <f t="shared" si="12"/>
        <v>14.610105432665501</v>
      </c>
    </row>
    <row r="92" spans="4:13" x14ac:dyDescent="0.25">
      <c r="D92" s="54">
        <f t="shared" si="13"/>
        <v>79</v>
      </c>
      <c r="E92" s="55">
        <v>46388</v>
      </c>
      <c r="F92" s="54">
        <f t="shared" si="10"/>
        <v>0</v>
      </c>
      <c r="G92" s="15">
        <f t="shared" si="14"/>
        <v>14.610105432665501</v>
      </c>
      <c r="H92" s="15">
        <f t="shared" si="11"/>
        <v>0.33</v>
      </c>
      <c r="I92" s="15"/>
      <c r="J92" s="15">
        <f t="shared" si="9"/>
        <v>0.05</v>
      </c>
      <c r="K92" s="14">
        <f t="shared" si="8"/>
        <v>0</v>
      </c>
      <c r="L92" s="15"/>
      <c r="M92" s="56">
        <f t="shared" si="12"/>
        <v>14.354291328843155</v>
      </c>
    </row>
    <row r="93" spans="4:13" x14ac:dyDescent="0.25">
      <c r="D93" s="54">
        <f t="shared" si="13"/>
        <v>80</v>
      </c>
      <c r="E93" s="55">
        <v>46419</v>
      </c>
      <c r="F93" s="54">
        <f t="shared" si="10"/>
        <v>0</v>
      </c>
      <c r="G93" s="15">
        <f t="shared" si="14"/>
        <v>14.354291328843155</v>
      </c>
      <c r="H93" s="15">
        <f t="shared" si="11"/>
        <v>0.33</v>
      </c>
      <c r="I93" s="15"/>
      <c r="J93" s="15">
        <f t="shared" si="9"/>
        <v>0.05</v>
      </c>
      <c r="K93" s="14">
        <f t="shared" si="8"/>
        <v>0</v>
      </c>
      <c r="L93" s="15"/>
      <c r="M93" s="56">
        <f t="shared" si="12"/>
        <v>14.09630280513832</v>
      </c>
    </row>
    <row r="94" spans="4:13" x14ac:dyDescent="0.25">
      <c r="D94" s="54">
        <f t="shared" si="13"/>
        <v>81</v>
      </c>
      <c r="E94" s="55">
        <v>46447</v>
      </c>
      <c r="F94" s="54">
        <f t="shared" si="10"/>
        <v>0</v>
      </c>
      <c r="G94" s="15">
        <f t="shared" si="14"/>
        <v>14.09630280513832</v>
      </c>
      <c r="H94" s="15">
        <f t="shared" si="11"/>
        <v>0.33</v>
      </c>
      <c r="I94" s="15"/>
      <c r="J94" s="15">
        <f t="shared" si="9"/>
        <v>0.05</v>
      </c>
      <c r="K94" s="14">
        <f t="shared" si="8"/>
        <v>0</v>
      </c>
      <c r="L94" s="15"/>
      <c r="M94" s="56">
        <f t="shared" si="12"/>
        <v>13.836121378981995</v>
      </c>
    </row>
    <row r="95" spans="4:13" x14ac:dyDescent="0.25">
      <c r="D95" s="54">
        <f t="shared" si="13"/>
        <v>82</v>
      </c>
      <c r="E95" s="55">
        <v>46478</v>
      </c>
      <c r="F95" s="54">
        <f t="shared" si="10"/>
        <v>0</v>
      </c>
      <c r="G95" s="15">
        <f t="shared" si="14"/>
        <v>13.836121378981995</v>
      </c>
      <c r="H95" s="15">
        <f t="shared" si="11"/>
        <v>0.33</v>
      </c>
      <c r="I95" s="15"/>
      <c r="J95" s="15">
        <f t="shared" si="9"/>
        <v>0.05</v>
      </c>
      <c r="K95" s="14">
        <f t="shared" si="8"/>
        <v>0</v>
      </c>
      <c r="L95" s="15"/>
      <c r="M95" s="56">
        <f t="shared" si="12"/>
        <v>13.573728410703341</v>
      </c>
    </row>
    <row r="96" spans="4:13" x14ac:dyDescent="0.25">
      <c r="D96" s="54">
        <f t="shared" si="13"/>
        <v>83</v>
      </c>
      <c r="E96" s="55">
        <v>46508</v>
      </c>
      <c r="F96" s="54">
        <f t="shared" si="10"/>
        <v>0</v>
      </c>
      <c r="G96" s="15">
        <f t="shared" si="14"/>
        <v>13.573728410703341</v>
      </c>
      <c r="H96" s="15">
        <f t="shared" si="11"/>
        <v>0.33</v>
      </c>
      <c r="I96" s="15"/>
      <c r="J96" s="15">
        <f t="shared" si="9"/>
        <v>0.05</v>
      </c>
      <c r="K96" s="14">
        <f t="shared" si="8"/>
        <v>0</v>
      </c>
      <c r="L96" s="15"/>
      <c r="M96" s="56">
        <f t="shared" si="12"/>
        <v>13.309105102194318</v>
      </c>
    </row>
    <row r="97" spans="4:13" x14ac:dyDescent="0.25">
      <c r="D97" s="54">
        <f t="shared" si="13"/>
        <v>84</v>
      </c>
      <c r="E97" s="55">
        <v>46539</v>
      </c>
      <c r="F97" s="54">
        <f t="shared" si="10"/>
        <v>0</v>
      </c>
      <c r="G97" s="15">
        <f t="shared" si="14"/>
        <v>13.309105102194318</v>
      </c>
      <c r="H97" s="15">
        <f t="shared" si="11"/>
        <v>0.33</v>
      </c>
      <c r="I97" s="15"/>
      <c r="J97" s="15">
        <f t="shared" si="9"/>
        <v>0.05</v>
      </c>
      <c r="K97" s="14">
        <f t="shared" si="8"/>
        <v>0</v>
      </c>
      <c r="L97" s="15"/>
      <c r="M97" s="56">
        <f t="shared" si="12"/>
        <v>13.042232495562969</v>
      </c>
    </row>
    <row r="98" spans="4:13" x14ac:dyDescent="0.25">
      <c r="D98" s="54">
        <f t="shared" si="13"/>
        <v>85</v>
      </c>
      <c r="E98" s="55">
        <v>46569</v>
      </c>
      <c r="F98" s="54">
        <f t="shared" si="10"/>
        <v>1</v>
      </c>
      <c r="G98" s="15">
        <f t="shared" si="14"/>
        <v>13.042232495562969</v>
      </c>
      <c r="H98" s="15">
        <f t="shared" si="11"/>
        <v>0.33</v>
      </c>
      <c r="I98" s="15"/>
      <c r="J98" s="15">
        <f t="shared" si="9"/>
        <v>0</v>
      </c>
      <c r="K98" s="14">
        <f t="shared" si="8"/>
        <v>8.75</v>
      </c>
      <c r="L98" s="15"/>
      <c r="M98" s="56">
        <f t="shared" si="12"/>
        <v>21.573091471775253</v>
      </c>
    </row>
    <row r="99" spans="4:13" x14ac:dyDescent="0.25">
      <c r="D99" s="54">
        <f t="shared" si="13"/>
        <v>86</v>
      </c>
      <c r="E99" s="55">
        <v>46600</v>
      </c>
      <c r="F99" s="54">
        <f t="shared" si="10"/>
        <v>0</v>
      </c>
      <c r="G99" s="15">
        <f t="shared" si="14"/>
        <v>21.573091471775253</v>
      </c>
      <c r="H99" s="15">
        <f t="shared" si="11"/>
        <v>0.33</v>
      </c>
      <c r="I99" s="15"/>
      <c r="J99" s="15">
        <f t="shared" si="9"/>
        <v>0.05</v>
      </c>
      <c r="K99" s="14">
        <f t="shared" si="8"/>
        <v>0</v>
      </c>
      <c r="L99" s="15"/>
      <c r="M99" s="56">
        <f t="shared" si="12"/>
        <v>21.376462749285341</v>
      </c>
    </row>
    <row r="100" spans="4:13" x14ac:dyDescent="0.25">
      <c r="D100" s="54">
        <f t="shared" si="13"/>
        <v>87</v>
      </c>
      <c r="E100" s="55">
        <v>46631</v>
      </c>
      <c r="F100" s="54">
        <f t="shared" si="10"/>
        <v>0</v>
      </c>
      <c r="G100" s="15">
        <f t="shared" si="14"/>
        <v>21.376462749285341</v>
      </c>
      <c r="H100" s="15">
        <f t="shared" si="11"/>
        <v>0.33</v>
      </c>
      <c r="I100" s="15"/>
      <c r="J100" s="15">
        <f t="shared" si="9"/>
        <v>0.05</v>
      </c>
      <c r="K100" s="14">
        <f t="shared" si="8"/>
        <v>0</v>
      </c>
      <c r="L100" s="15"/>
      <c r="M100" s="56">
        <f t="shared" si="12"/>
        <v>21.178162682654268</v>
      </c>
    </row>
    <row r="101" spans="4:13" x14ac:dyDescent="0.25">
      <c r="D101" s="54">
        <f t="shared" si="13"/>
        <v>88</v>
      </c>
      <c r="E101" s="55">
        <v>46661</v>
      </c>
      <c r="F101" s="54">
        <f t="shared" si="10"/>
        <v>0</v>
      </c>
      <c r="G101" s="15">
        <f t="shared" si="14"/>
        <v>21.178162682654268</v>
      </c>
      <c r="H101" s="15">
        <f t="shared" si="11"/>
        <v>0.33</v>
      </c>
      <c r="I101" s="15"/>
      <c r="J101" s="15">
        <f t="shared" si="9"/>
        <v>0.05</v>
      </c>
      <c r="K101" s="14">
        <f t="shared" si="8"/>
        <v>0</v>
      </c>
      <c r="L101" s="15"/>
      <c r="M101" s="56">
        <f t="shared" si="12"/>
        <v>20.97817706545683</v>
      </c>
    </row>
    <row r="102" spans="4:13" x14ac:dyDescent="0.25">
      <c r="D102" s="54">
        <f t="shared" si="13"/>
        <v>89</v>
      </c>
      <c r="E102" s="55">
        <v>46692</v>
      </c>
      <c r="F102" s="54">
        <f t="shared" si="10"/>
        <v>0</v>
      </c>
      <c r="G102" s="15">
        <f t="shared" si="14"/>
        <v>20.97817706545683</v>
      </c>
      <c r="H102" s="15">
        <f t="shared" si="11"/>
        <v>0.33</v>
      </c>
      <c r="I102" s="15"/>
      <c r="J102" s="15">
        <f t="shared" si="9"/>
        <v>0.05</v>
      </c>
      <c r="K102" s="14">
        <f t="shared" si="8"/>
        <v>0</v>
      </c>
      <c r="L102" s="15"/>
      <c r="M102" s="56">
        <f t="shared" si="12"/>
        <v>20.776491570513212</v>
      </c>
    </row>
    <row r="103" spans="4:13" x14ac:dyDescent="0.25">
      <c r="D103" s="54">
        <f t="shared" si="13"/>
        <v>90</v>
      </c>
      <c r="E103" s="55">
        <v>46722</v>
      </c>
      <c r="F103" s="54">
        <f t="shared" si="10"/>
        <v>0</v>
      </c>
      <c r="G103" s="15">
        <f t="shared" si="14"/>
        <v>20.776491570513212</v>
      </c>
      <c r="H103" s="15">
        <f t="shared" si="11"/>
        <v>0.33</v>
      </c>
      <c r="I103" s="15"/>
      <c r="J103" s="15">
        <f t="shared" si="9"/>
        <v>0.05</v>
      </c>
      <c r="K103" s="14">
        <f t="shared" si="8"/>
        <v>0</v>
      </c>
      <c r="L103" s="15"/>
      <c r="M103" s="56">
        <f t="shared" si="12"/>
        <v>20.573091748862574</v>
      </c>
    </row>
    <row r="104" spans="4:13" x14ac:dyDescent="0.25">
      <c r="D104" s="54">
        <f t="shared" si="13"/>
        <v>91</v>
      </c>
      <c r="E104" s="55">
        <v>46753</v>
      </c>
      <c r="F104" s="54">
        <f t="shared" si="10"/>
        <v>0</v>
      </c>
      <c r="G104" s="15">
        <f t="shared" si="14"/>
        <v>20.573091748862574</v>
      </c>
      <c r="H104" s="15">
        <f t="shared" si="11"/>
        <v>0.33</v>
      </c>
      <c r="I104" s="15"/>
      <c r="J104" s="15">
        <f t="shared" si="9"/>
        <v>0.05</v>
      </c>
      <c r="K104" s="14">
        <f t="shared" si="8"/>
        <v>0</v>
      </c>
      <c r="L104" s="15"/>
      <c r="M104" s="56">
        <f t="shared" si="12"/>
        <v>20.367963028727907</v>
      </c>
    </row>
    <row r="105" spans="4:13" x14ac:dyDescent="0.25">
      <c r="D105" s="54">
        <f t="shared" si="13"/>
        <v>92</v>
      </c>
      <c r="E105" s="55">
        <v>46784</v>
      </c>
      <c r="F105" s="54">
        <f t="shared" si="10"/>
        <v>0</v>
      </c>
      <c r="G105" s="15">
        <f t="shared" si="14"/>
        <v>20.367963028727907</v>
      </c>
      <c r="H105" s="15">
        <f t="shared" si="11"/>
        <v>0.33</v>
      </c>
      <c r="I105" s="15"/>
      <c r="J105" s="15">
        <f t="shared" si="9"/>
        <v>0.05</v>
      </c>
      <c r="K105" s="14">
        <f t="shared" si="8"/>
        <v>0</v>
      </c>
      <c r="L105" s="15"/>
      <c r="M105" s="56">
        <f t="shared" si="12"/>
        <v>20.161090714472095</v>
      </c>
    </row>
    <row r="106" spans="4:13" x14ac:dyDescent="0.25">
      <c r="D106" s="54">
        <f t="shared" si="13"/>
        <v>93</v>
      </c>
      <c r="E106" s="55">
        <v>46813</v>
      </c>
      <c r="F106" s="54">
        <f t="shared" si="10"/>
        <v>0</v>
      </c>
      <c r="G106" s="15">
        <f t="shared" si="14"/>
        <v>20.161090714472095</v>
      </c>
      <c r="H106" s="15">
        <f t="shared" si="11"/>
        <v>0.33</v>
      </c>
      <c r="I106" s="15"/>
      <c r="J106" s="15">
        <f t="shared" si="9"/>
        <v>0.05</v>
      </c>
      <c r="K106" s="14">
        <f t="shared" si="8"/>
        <v>0</v>
      </c>
      <c r="L106" s="15"/>
      <c r="M106" s="56">
        <f t="shared" si="12"/>
        <v>19.952459985545108</v>
      </c>
    </row>
    <row r="107" spans="4:13" x14ac:dyDescent="0.25">
      <c r="D107" s="54">
        <f t="shared" si="13"/>
        <v>94</v>
      </c>
      <c r="E107" s="55">
        <v>46844</v>
      </c>
      <c r="F107" s="54">
        <f t="shared" si="10"/>
        <v>0</v>
      </c>
      <c r="G107" s="15">
        <f t="shared" si="14"/>
        <v>19.952459985545108</v>
      </c>
      <c r="H107" s="15">
        <f t="shared" si="11"/>
        <v>0.33</v>
      </c>
      <c r="I107" s="15"/>
      <c r="J107" s="15">
        <f t="shared" si="9"/>
        <v>0.05</v>
      </c>
      <c r="K107" s="14">
        <f t="shared" si="8"/>
        <v>0</v>
      </c>
      <c r="L107" s="15"/>
      <c r="M107" s="56">
        <f t="shared" si="12"/>
        <v>19.74205589542224</v>
      </c>
    </row>
    <row r="108" spans="4:13" x14ac:dyDescent="0.25">
      <c r="D108" s="54">
        <f t="shared" si="13"/>
        <v>95</v>
      </c>
      <c r="E108" s="55">
        <v>46874</v>
      </c>
      <c r="F108" s="54">
        <f t="shared" si="10"/>
        <v>0</v>
      </c>
      <c r="G108" s="15">
        <f t="shared" si="14"/>
        <v>19.74205589542224</v>
      </c>
      <c r="H108" s="15">
        <f t="shared" si="11"/>
        <v>0.33</v>
      </c>
      <c r="I108" s="15"/>
      <c r="J108" s="15">
        <f t="shared" si="9"/>
        <v>0.05</v>
      </c>
      <c r="K108" s="14">
        <f t="shared" si="8"/>
        <v>0</v>
      </c>
      <c r="L108" s="15"/>
      <c r="M108" s="56">
        <f t="shared" si="12"/>
        <v>19.529863370533331</v>
      </c>
    </row>
    <row r="109" spans="4:13" x14ac:dyDescent="0.25">
      <c r="D109" s="54">
        <f t="shared" si="13"/>
        <v>96</v>
      </c>
      <c r="E109" s="55">
        <v>46905</v>
      </c>
      <c r="F109" s="54">
        <f t="shared" si="10"/>
        <v>0</v>
      </c>
      <c r="G109" s="15">
        <f t="shared" si="14"/>
        <v>19.529863370533331</v>
      </c>
      <c r="H109" s="15">
        <f t="shared" si="11"/>
        <v>0.33</v>
      </c>
      <c r="I109" s="15"/>
      <c r="J109" s="15">
        <f t="shared" si="9"/>
        <v>0.05</v>
      </c>
      <c r="K109" s="14">
        <f t="shared" si="8"/>
        <v>0</v>
      </c>
      <c r="L109" s="15"/>
      <c r="M109" s="56">
        <f t="shared" si="12"/>
        <v>19.315867209182866</v>
      </c>
    </row>
    <row r="110" spans="4:13" x14ac:dyDescent="0.25">
      <c r="D110" s="54">
        <f t="shared" si="13"/>
        <v>97</v>
      </c>
      <c r="E110" s="55">
        <v>46935</v>
      </c>
      <c r="F110" s="54">
        <f t="shared" si="10"/>
        <v>1</v>
      </c>
      <c r="G110" s="15">
        <f t="shared" si="14"/>
        <v>19.315867209182866</v>
      </c>
      <c r="H110" s="15">
        <f t="shared" si="11"/>
        <v>0.33</v>
      </c>
      <c r="I110" s="15"/>
      <c r="J110" s="15">
        <f t="shared" si="9"/>
        <v>0</v>
      </c>
      <c r="K110" s="14">
        <f t="shared" si="8"/>
        <v>9.5</v>
      </c>
      <c r="L110" s="15"/>
      <c r="M110" s="56">
        <f t="shared" si="12"/>
        <v>28.65005208046092</v>
      </c>
    </row>
    <row r="111" spans="4:13" x14ac:dyDescent="0.25">
      <c r="D111" s="54">
        <f t="shared" si="13"/>
        <v>98</v>
      </c>
      <c r="E111" s="55">
        <v>46966</v>
      </c>
      <c r="F111" s="54">
        <f t="shared" si="10"/>
        <v>0</v>
      </c>
      <c r="G111" s="15">
        <f t="shared" si="14"/>
        <v>28.65005208046092</v>
      </c>
      <c r="H111" s="15">
        <f t="shared" si="11"/>
        <v>0.33</v>
      </c>
      <c r="I111" s="15"/>
      <c r="J111" s="15">
        <f t="shared" si="9"/>
        <v>0.05</v>
      </c>
      <c r="K111" s="14">
        <f t="shared" si="8"/>
        <v>0</v>
      </c>
      <c r="L111" s="15"/>
      <c r="M111" s="56">
        <f t="shared" si="12"/>
        <v>28.513577523144839</v>
      </c>
    </row>
    <row r="112" spans="4:13" x14ac:dyDescent="0.25">
      <c r="D112" s="54">
        <f t="shared" si="13"/>
        <v>99</v>
      </c>
      <c r="E112" s="55">
        <v>46997</v>
      </c>
      <c r="F112" s="54">
        <f t="shared" si="10"/>
        <v>0</v>
      </c>
      <c r="G112" s="15">
        <f t="shared" si="14"/>
        <v>28.513577523144839</v>
      </c>
      <c r="H112" s="15">
        <f t="shared" si="11"/>
        <v>0.33</v>
      </c>
      <c r="I112" s="15"/>
      <c r="J112" s="15">
        <f t="shared" si="9"/>
        <v>0.05</v>
      </c>
      <c r="K112" s="14">
        <f t="shared" si="8"/>
        <v>0</v>
      </c>
      <c r="L112" s="15"/>
      <c r="M112" s="56">
        <f t="shared" si="12"/>
        <v>28.375942932091569</v>
      </c>
    </row>
    <row r="113" spans="4:13" x14ac:dyDescent="0.25">
      <c r="D113" s="54">
        <f t="shared" si="13"/>
        <v>100</v>
      </c>
      <c r="E113" s="55">
        <v>47027</v>
      </c>
      <c r="F113" s="54">
        <f t="shared" si="10"/>
        <v>0</v>
      </c>
      <c r="G113" s="15">
        <f t="shared" si="14"/>
        <v>28.375942932091569</v>
      </c>
      <c r="H113" s="15">
        <f t="shared" si="11"/>
        <v>0.33</v>
      </c>
      <c r="I113" s="15"/>
      <c r="J113" s="15">
        <f t="shared" si="9"/>
        <v>0.05</v>
      </c>
      <c r="K113" s="14">
        <f t="shared" si="8"/>
        <v>0</v>
      </c>
      <c r="L113" s="15"/>
      <c r="M113" s="56">
        <f t="shared" si="12"/>
        <v>28.237138447014345</v>
      </c>
    </row>
    <row r="114" spans="4:13" x14ac:dyDescent="0.25">
      <c r="D114" s="54">
        <f t="shared" si="13"/>
        <v>101</v>
      </c>
      <c r="E114" s="55">
        <v>47058</v>
      </c>
      <c r="F114" s="54">
        <f t="shared" si="10"/>
        <v>0</v>
      </c>
      <c r="G114" s="15">
        <f t="shared" si="14"/>
        <v>28.237138447014345</v>
      </c>
      <c r="H114" s="15">
        <f t="shared" si="11"/>
        <v>0.33</v>
      </c>
      <c r="I114" s="15"/>
      <c r="J114" s="15">
        <f t="shared" si="9"/>
        <v>0.05</v>
      </c>
      <c r="K114" s="14">
        <f t="shared" si="8"/>
        <v>0</v>
      </c>
      <c r="L114" s="15"/>
      <c r="M114" s="56">
        <f t="shared" si="12"/>
        <v>28.097154123813969</v>
      </c>
    </row>
    <row r="115" spans="4:13" x14ac:dyDescent="0.25">
      <c r="D115" s="54">
        <f t="shared" si="13"/>
        <v>102</v>
      </c>
      <c r="E115" s="55">
        <v>47088</v>
      </c>
      <c r="F115" s="54">
        <f t="shared" si="10"/>
        <v>0</v>
      </c>
      <c r="G115" s="15">
        <f t="shared" si="14"/>
        <v>28.097154123813969</v>
      </c>
      <c r="H115" s="15">
        <f t="shared" si="11"/>
        <v>0.33</v>
      </c>
      <c r="I115" s="15"/>
      <c r="J115" s="15">
        <f t="shared" si="9"/>
        <v>0.05</v>
      </c>
      <c r="K115" s="14">
        <f t="shared" ref="K115:K133" si="15">F115*($B$10+(YEAR(E115)-2023)*$B$11)</f>
        <v>0</v>
      </c>
      <c r="L115" s="15"/>
      <c r="M115" s="56">
        <f t="shared" si="12"/>
        <v>27.955979933866388</v>
      </c>
    </row>
    <row r="116" spans="4:13" x14ac:dyDescent="0.25">
      <c r="D116" s="54">
        <f t="shared" si="13"/>
        <v>103</v>
      </c>
      <c r="E116" s="55">
        <v>47119</v>
      </c>
      <c r="F116" s="54">
        <f t="shared" si="10"/>
        <v>0</v>
      </c>
      <c r="G116" s="15">
        <f t="shared" si="14"/>
        <v>27.955979933866388</v>
      </c>
      <c r="H116" s="15">
        <f t="shared" si="11"/>
        <v>0.33</v>
      </c>
      <c r="I116" s="15"/>
      <c r="J116" s="15">
        <f t="shared" ref="J116:J133" si="16">$B$9*(1-F116)</f>
        <v>0.05</v>
      </c>
      <c r="K116" s="14">
        <f t="shared" si="15"/>
        <v>0</v>
      </c>
      <c r="L116" s="15"/>
      <c r="M116" s="56">
        <f t="shared" si="12"/>
        <v>27.813605763304253</v>
      </c>
    </row>
    <row r="117" spans="4:13" x14ac:dyDescent="0.25">
      <c r="D117" s="54">
        <f t="shared" si="13"/>
        <v>104</v>
      </c>
      <c r="E117" s="55">
        <v>47150</v>
      </c>
      <c r="F117" s="54">
        <f t="shared" si="10"/>
        <v>0</v>
      </c>
      <c r="G117" s="15">
        <f t="shared" si="14"/>
        <v>27.813605763304253</v>
      </c>
      <c r="H117" s="15">
        <f t="shared" si="11"/>
        <v>0.33</v>
      </c>
      <c r="I117" s="15"/>
      <c r="J117" s="15">
        <f t="shared" si="16"/>
        <v>0.05</v>
      </c>
      <c r="K117" s="14">
        <f t="shared" si="15"/>
        <v>0</v>
      </c>
      <c r="L117" s="15"/>
      <c r="M117" s="56">
        <f t="shared" si="12"/>
        <v>27.670021412292339</v>
      </c>
    </row>
    <row r="118" spans="4:13" x14ac:dyDescent="0.25">
      <c r="D118" s="54">
        <f t="shared" si="13"/>
        <v>105</v>
      </c>
      <c r="E118" s="55">
        <v>47178</v>
      </c>
      <c r="F118" s="54">
        <f t="shared" si="10"/>
        <v>0</v>
      </c>
      <c r="G118" s="15">
        <f t="shared" si="14"/>
        <v>27.670021412292339</v>
      </c>
      <c r="H118" s="15">
        <f t="shared" si="11"/>
        <v>0.33</v>
      </c>
      <c r="I118" s="15"/>
      <c r="J118" s="15">
        <f t="shared" si="16"/>
        <v>0.05</v>
      </c>
      <c r="K118" s="14">
        <f t="shared" si="15"/>
        <v>0</v>
      </c>
      <c r="L118" s="15"/>
      <c r="M118" s="56">
        <f t="shared" si="12"/>
        <v>27.525216594296825</v>
      </c>
    </row>
    <row r="119" spans="4:13" x14ac:dyDescent="0.25">
      <c r="D119" s="54">
        <f t="shared" si="13"/>
        <v>106</v>
      </c>
      <c r="E119" s="55">
        <v>47209</v>
      </c>
      <c r="F119" s="54">
        <f t="shared" si="10"/>
        <v>0</v>
      </c>
      <c r="G119" s="15">
        <f t="shared" si="14"/>
        <v>27.525216594296825</v>
      </c>
      <c r="H119" s="15">
        <f t="shared" si="11"/>
        <v>0.33</v>
      </c>
      <c r="I119" s="15"/>
      <c r="J119" s="15">
        <f t="shared" si="16"/>
        <v>0.05</v>
      </c>
      <c r="K119" s="14">
        <f t="shared" si="15"/>
        <v>0</v>
      </c>
      <c r="L119" s="15"/>
      <c r="M119" s="56">
        <f t="shared" si="12"/>
        <v>27.379180935348348</v>
      </c>
    </row>
    <row r="120" spans="4:13" x14ac:dyDescent="0.25">
      <c r="D120" s="54">
        <f t="shared" si="13"/>
        <v>107</v>
      </c>
      <c r="E120" s="55">
        <v>47239</v>
      </c>
      <c r="F120" s="54">
        <f t="shared" si="10"/>
        <v>0</v>
      </c>
      <c r="G120" s="15">
        <f t="shared" si="14"/>
        <v>27.379180935348348</v>
      </c>
      <c r="H120" s="15">
        <f t="shared" si="11"/>
        <v>0.33</v>
      </c>
      <c r="I120" s="15"/>
      <c r="J120" s="15">
        <f t="shared" si="16"/>
        <v>0.05</v>
      </c>
      <c r="K120" s="14">
        <f t="shared" si="15"/>
        <v>0</v>
      </c>
      <c r="L120" s="15"/>
      <c r="M120" s="56">
        <f t="shared" si="12"/>
        <v>27.23190397329881</v>
      </c>
    </row>
    <row r="121" spans="4:13" x14ac:dyDescent="0.25">
      <c r="D121" s="54">
        <f t="shared" si="13"/>
        <v>108</v>
      </c>
      <c r="E121" s="55">
        <v>47270</v>
      </c>
      <c r="F121" s="54">
        <f t="shared" si="10"/>
        <v>0</v>
      </c>
      <c r="G121" s="15">
        <f t="shared" si="14"/>
        <v>27.23190397329881</v>
      </c>
      <c r="H121" s="15">
        <f t="shared" si="11"/>
        <v>0.33</v>
      </c>
      <c r="I121" s="15"/>
      <c r="J121" s="15">
        <f t="shared" si="16"/>
        <v>0.05</v>
      </c>
      <c r="K121" s="14">
        <f t="shared" si="15"/>
        <v>0</v>
      </c>
      <c r="L121" s="15"/>
      <c r="M121" s="56">
        <f t="shared" si="12"/>
        <v>27.083375157071849</v>
      </c>
    </row>
    <row r="122" spans="4:13" x14ac:dyDescent="0.25">
      <c r="D122" s="54">
        <f t="shared" si="13"/>
        <v>109</v>
      </c>
      <c r="E122" s="55">
        <v>47300</v>
      </c>
      <c r="F122" s="54">
        <f t="shared" si="10"/>
        <v>1</v>
      </c>
      <c r="G122" s="15">
        <f t="shared" si="14"/>
        <v>27.083375157071849</v>
      </c>
      <c r="H122" s="15">
        <f t="shared" si="11"/>
        <v>0.33</v>
      </c>
      <c r="I122" s="15"/>
      <c r="J122" s="15">
        <f t="shared" si="16"/>
        <v>0</v>
      </c>
      <c r="K122" s="14">
        <f t="shared" si="15"/>
        <v>10.25</v>
      </c>
      <c r="L122" s="15"/>
      <c r="M122" s="56">
        <f t="shared" si="12"/>
        <v>37.233583845906963</v>
      </c>
    </row>
    <row r="123" spans="4:13" x14ac:dyDescent="0.25">
      <c r="D123" s="54">
        <f t="shared" si="13"/>
        <v>110</v>
      </c>
      <c r="E123" s="55">
        <v>47331</v>
      </c>
      <c r="F123" s="54">
        <f t="shared" si="10"/>
        <v>0</v>
      </c>
      <c r="G123" s="15">
        <f t="shared" si="14"/>
        <v>37.233583845906963</v>
      </c>
      <c r="H123" s="15">
        <f t="shared" si="11"/>
        <v>0.33</v>
      </c>
      <c r="I123" s="15"/>
      <c r="J123" s="15">
        <f t="shared" si="16"/>
        <v>0.05</v>
      </c>
      <c r="K123" s="14">
        <f t="shared" si="15"/>
        <v>0</v>
      </c>
      <c r="L123" s="15"/>
      <c r="M123" s="56">
        <f t="shared" si="12"/>
        <v>37.170069308597178</v>
      </c>
    </row>
    <row r="124" spans="4:13" x14ac:dyDescent="0.25">
      <c r="D124" s="54">
        <f t="shared" si="13"/>
        <v>111</v>
      </c>
      <c r="E124" s="55">
        <v>47362</v>
      </c>
      <c r="F124" s="54">
        <f t="shared" si="10"/>
        <v>0</v>
      </c>
      <c r="G124" s="15">
        <f t="shared" si="14"/>
        <v>37.170069308597178</v>
      </c>
      <c r="H124" s="15">
        <f t="shared" si="11"/>
        <v>0.33</v>
      </c>
      <c r="I124" s="15"/>
      <c r="J124" s="15">
        <f t="shared" si="16"/>
        <v>0.05</v>
      </c>
      <c r="K124" s="14">
        <f t="shared" si="15"/>
        <v>0</v>
      </c>
      <c r="L124" s="15"/>
      <c r="M124" s="56">
        <f t="shared" si="12"/>
        <v>37.106014897720257</v>
      </c>
    </row>
    <row r="125" spans="4:13" x14ac:dyDescent="0.25">
      <c r="D125" s="54">
        <f t="shared" si="13"/>
        <v>112</v>
      </c>
      <c r="E125" s="55">
        <v>47392</v>
      </c>
      <c r="F125" s="54">
        <f t="shared" si="10"/>
        <v>0</v>
      </c>
      <c r="G125" s="15">
        <f t="shared" si="14"/>
        <v>37.106014897720257</v>
      </c>
      <c r="H125" s="15">
        <f t="shared" si="11"/>
        <v>0.33</v>
      </c>
      <c r="I125" s="15"/>
      <c r="J125" s="15">
        <f t="shared" si="16"/>
        <v>0.05</v>
      </c>
      <c r="K125" s="14">
        <f t="shared" si="15"/>
        <v>0</v>
      </c>
      <c r="L125" s="15"/>
      <c r="M125" s="56">
        <f t="shared" si="12"/>
        <v>37.04141602435088</v>
      </c>
    </row>
    <row r="126" spans="4:13" x14ac:dyDescent="0.25">
      <c r="D126" s="54">
        <f t="shared" si="13"/>
        <v>113</v>
      </c>
      <c r="E126" s="55">
        <v>47423</v>
      </c>
      <c r="F126" s="54">
        <f t="shared" si="10"/>
        <v>0</v>
      </c>
      <c r="G126" s="15">
        <f t="shared" si="14"/>
        <v>37.04141602435088</v>
      </c>
      <c r="H126" s="15">
        <f t="shared" si="11"/>
        <v>0.33</v>
      </c>
      <c r="I126" s="15"/>
      <c r="J126" s="15">
        <f t="shared" si="16"/>
        <v>0.05</v>
      </c>
      <c r="K126" s="14">
        <f t="shared" si="15"/>
        <v>0</v>
      </c>
      <c r="L126" s="15"/>
      <c r="M126" s="56">
        <f t="shared" si="12"/>
        <v>36.976268060557864</v>
      </c>
    </row>
    <row r="127" spans="4:13" x14ac:dyDescent="0.25">
      <c r="D127" s="54">
        <f t="shared" si="13"/>
        <v>114</v>
      </c>
      <c r="E127" s="55">
        <v>47453</v>
      </c>
      <c r="F127" s="54">
        <f t="shared" si="10"/>
        <v>0</v>
      </c>
      <c r="G127" s="15">
        <f t="shared" si="14"/>
        <v>36.976268060557864</v>
      </c>
      <c r="H127" s="15">
        <f t="shared" si="11"/>
        <v>0.33</v>
      </c>
      <c r="I127" s="15"/>
      <c r="J127" s="15">
        <f t="shared" si="16"/>
        <v>0.05</v>
      </c>
      <c r="K127" s="14">
        <f t="shared" si="15"/>
        <v>0</v>
      </c>
      <c r="L127" s="15"/>
      <c r="M127" s="56">
        <f t="shared" si="12"/>
        <v>36.910566339072609</v>
      </c>
    </row>
    <row r="128" spans="4:13" x14ac:dyDescent="0.25">
      <c r="D128" s="54">
        <f t="shared" si="13"/>
        <v>115</v>
      </c>
      <c r="E128" s="55">
        <v>47484</v>
      </c>
      <c r="F128" s="54">
        <f t="shared" si="10"/>
        <v>0</v>
      </c>
      <c r="G128" s="15">
        <f t="shared" si="14"/>
        <v>36.910566339072609</v>
      </c>
      <c r="H128" s="15">
        <f t="shared" si="11"/>
        <v>0.33</v>
      </c>
      <c r="I128" s="15"/>
      <c r="J128" s="15">
        <f t="shared" si="16"/>
        <v>0.05</v>
      </c>
      <c r="K128" s="14">
        <f t="shared" si="15"/>
        <v>0</v>
      </c>
      <c r="L128" s="15"/>
      <c r="M128" s="56">
        <f t="shared" si="12"/>
        <v>36.844306152954729</v>
      </c>
    </row>
    <row r="129" spans="4:13" x14ac:dyDescent="0.25">
      <c r="D129" s="54">
        <f t="shared" si="13"/>
        <v>116</v>
      </c>
      <c r="E129" s="55">
        <v>47515</v>
      </c>
      <c r="F129" s="54">
        <f t="shared" si="10"/>
        <v>0</v>
      </c>
      <c r="G129" s="15">
        <f t="shared" si="14"/>
        <v>36.844306152954729</v>
      </c>
      <c r="H129" s="15">
        <f t="shared" si="11"/>
        <v>0.33</v>
      </c>
      <c r="I129" s="15"/>
      <c r="J129" s="15">
        <f t="shared" si="16"/>
        <v>0.05</v>
      </c>
      <c r="K129" s="14">
        <f t="shared" si="15"/>
        <v>0</v>
      </c>
      <c r="L129" s="15"/>
      <c r="M129" s="56">
        <f t="shared" si="12"/>
        <v>36.777482755254844</v>
      </c>
    </row>
    <row r="130" spans="4:13" x14ac:dyDescent="0.25">
      <c r="D130" s="54">
        <f t="shared" si="13"/>
        <v>117</v>
      </c>
      <c r="E130" s="55">
        <v>47543</v>
      </c>
      <c r="F130" s="54">
        <f t="shared" si="10"/>
        <v>0</v>
      </c>
      <c r="G130" s="15">
        <f t="shared" si="14"/>
        <v>36.777482755254844</v>
      </c>
      <c r="H130" s="15">
        <f t="shared" si="11"/>
        <v>0.33</v>
      </c>
      <c r="I130" s="15"/>
      <c r="J130" s="15">
        <f t="shared" si="16"/>
        <v>0.05</v>
      </c>
      <c r="K130" s="14">
        <f t="shared" si="15"/>
        <v>0</v>
      </c>
      <c r="L130" s="15"/>
      <c r="M130" s="56">
        <f t="shared" si="12"/>
        <v>36.710091358674511</v>
      </c>
    </row>
    <row r="131" spans="4:13" x14ac:dyDescent="0.25">
      <c r="D131" s="54">
        <f t="shared" si="13"/>
        <v>118</v>
      </c>
      <c r="E131" s="55">
        <v>47574</v>
      </c>
      <c r="F131" s="54">
        <f t="shared" si="10"/>
        <v>0</v>
      </c>
      <c r="G131" s="15">
        <f t="shared" si="14"/>
        <v>36.710091358674511</v>
      </c>
      <c r="H131" s="15">
        <f t="shared" si="11"/>
        <v>0.33</v>
      </c>
      <c r="I131" s="15"/>
      <c r="J131" s="15">
        <f t="shared" si="16"/>
        <v>0.05</v>
      </c>
      <c r="K131" s="14">
        <f t="shared" si="15"/>
        <v>0</v>
      </c>
      <c r="L131" s="15"/>
      <c r="M131" s="56">
        <f t="shared" si="12"/>
        <v>36.642127135223248</v>
      </c>
    </row>
    <row r="132" spans="4:13" x14ac:dyDescent="0.25">
      <c r="D132" s="54">
        <f t="shared" si="13"/>
        <v>119</v>
      </c>
      <c r="E132" s="55">
        <v>47604</v>
      </c>
      <c r="F132" s="54">
        <f t="shared" si="10"/>
        <v>0</v>
      </c>
      <c r="G132" s="15">
        <f t="shared" si="14"/>
        <v>36.642127135223248</v>
      </c>
      <c r="H132" s="15">
        <f t="shared" si="11"/>
        <v>0.33</v>
      </c>
      <c r="I132" s="15"/>
      <c r="J132" s="15">
        <f t="shared" si="16"/>
        <v>0.05</v>
      </c>
      <c r="K132" s="14">
        <f t="shared" si="15"/>
        <v>0</v>
      </c>
      <c r="L132" s="15"/>
      <c r="M132" s="56">
        <f t="shared" si="12"/>
        <v>36.573585215872647</v>
      </c>
    </row>
    <row r="133" spans="4:13" x14ac:dyDescent="0.25">
      <c r="D133" s="54">
        <f t="shared" si="13"/>
        <v>120</v>
      </c>
      <c r="E133" s="55">
        <v>47635</v>
      </c>
      <c r="F133" s="54">
        <f t="shared" si="10"/>
        <v>0</v>
      </c>
      <c r="G133" s="15">
        <f t="shared" si="14"/>
        <v>36.573585215872647</v>
      </c>
      <c r="H133" s="15">
        <f t="shared" si="11"/>
        <v>0.33</v>
      </c>
      <c r="I133" s="15"/>
      <c r="J133" s="15">
        <f t="shared" si="16"/>
        <v>0.05</v>
      </c>
      <c r="K133" s="14">
        <f t="shared" si="15"/>
        <v>0</v>
      </c>
      <c r="L133" s="15">
        <f>B5</f>
        <v>33</v>
      </c>
      <c r="M133" s="56">
        <f t="shared" si="12"/>
        <v>3.5044606902075657</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Question 1</vt:lpstr>
      <vt:lpstr>Question 2</vt:lpstr>
      <vt:lpstr>Question 3</vt:lpstr>
      <vt:lpstr>Question 4 part (i)</vt:lpstr>
      <vt:lpstr>Question 4 part (ii)</vt:lpstr>
      <vt:lpstr>Question 5</vt:lpstr>
      <vt:lpstr>Question 6</vt:lpstr>
      <vt:lpstr>AddBonus</vt:lpstr>
      <vt:lpstr>AddRev</vt:lpstr>
      <vt:lpstr>AddSal</vt:lpstr>
      <vt:lpstr>int</vt:lpstr>
      <vt:lpstr>interest</vt:lpstr>
      <vt:lpstr>LostProd</vt:lpstr>
      <vt:lpstr>RevInc</vt:lpstr>
      <vt:lpstr>SalInc</vt:lpstr>
      <vt:lpstr>TrainCost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tanya mehta</dc:creator>
  <cp:lastModifiedBy>tanya mehta</cp:lastModifiedBy>
  <dcterms:created xsi:type="dcterms:W3CDTF">2021-01-10T13:50:17Z</dcterms:created>
  <dcterms:modified xsi:type="dcterms:W3CDTF">2021-01-10T17:29:10Z</dcterms:modified>
</cp:coreProperties>
</file>